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https://guildford-my.sharepoint.com/personal/daniel_hannington_guildford_gov_uk/Documents/Desktop/Examination reps/Converted Excel/"/>
    </mc:Choice>
  </mc:AlternateContent>
  <xr:revisionPtr revIDLastSave="0" documentId="8_{5DD07DFF-F8AC-44D7-A019-EFB94657C0A7}" xr6:coauthVersionLast="47" xr6:coauthVersionMax="47" xr10:uidLastSave="{00000000-0000-0000-0000-000000000000}"/>
  <bookViews>
    <workbookView xWindow="28680" yWindow="-120" windowWidth="29040" windowHeight="15840" tabRatio="741" firstSheet="5" activeTab="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state="hidden" r:id="rId12"/>
    <sheet name="D-2 Off Site Habitat Creation" sheetId="71" state="hidden" r:id="rId13"/>
    <sheet name="D-3 Off Site Habitat Enhancment" sheetId="50" state="hidden" r:id="rId14"/>
    <sheet name="B-1 Site Hedge Baseline" sheetId="52" r:id="rId15"/>
    <sheet name="B-2 Site Hedge Creation" sheetId="42" r:id="rId16"/>
    <sheet name="B-3 Site Hedge Enhancement" sheetId="53" r:id="rId17"/>
    <sheet name="E-1 Off Site Hedge Baseline" sheetId="55" state="hidden" r:id="rId18"/>
    <sheet name="E-2 Off Site Hedge Creation" sheetId="58" state="hidden" r:id="rId19"/>
    <sheet name="E-3 Off Site Hedge Enhancement" sheetId="57" state="hidden" r:id="rId20"/>
    <sheet name="C-1 Site River Baseline" sheetId="63" state="hidden" r:id="rId21"/>
    <sheet name="C-2 Site River Creation" sheetId="64" state="hidden" r:id="rId22"/>
    <sheet name="C-3 Site River Enhancement" sheetId="65" state="hidden" r:id="rId23"/>
    <sheet name="F-1 Off Site River Baseline" sheetId="67" state="hidden" r:id="rId24"/>
    <sheet name="F-2 Off Site River Creation" sheetId="68" state="hidden" r:id="rId25"/>
    <sheet name="F-3 Off Site River Enhancement" sheetId="69" state="hidden" r:id="rId26"/>
    <sheet name="G-1 All Habitats" sheetId="29" state="hidden" r:id="rId27"/>
    <sheet name="G-2 Habitat groups" sheetId="22" state="hidden" r:id="rId28"/>
    <sheet name="G-3 Multipliers" sheetId="28" state="hidden" r:id="rId29"/>
    <sheet name="G-4 Temporal multipliers" sheetId="20" state="hidden" r:id="rId30"/>
    <sheet name="G-5 Enhancement Temporal" sheetId="33" state="hidden" r:id="rId31"/>
    <sheet name="G-6 Hedgerow Data" sheetId="39" state="hidden" r:id="rId32"/>
    <sheet name="G-7 Rivers Data" sheetId="66" state="hidden" r:id="rId33"/>
    <sheet name="G-8 Condition Look up" sheetId="99" state="hidden" r:id="rId34"/>
    <sheet name="G-9 Translation Phase 1" sheetId="103" state="hidden" r:id="rId35"/>
    <sheet name="Technical Data" sheetId="95" state="hidden" r:id="rId36"/>
    <sheet name="Lists" sheetId="61" state="hidden"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5"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5" i="46" l="1"/>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K153" i="22" s="1"/>
  <c r="A154" i="22"/>
  <c r="S154" i="22" s="1"/>
  <c r="C127" i="36" s="1"/>
  <c r="A155" i="22"/>
  <c r="A156" i="22"/>
  <c r="A157" i="22"/>
  <c r="I157" i="22" s="1"/>
  <c r="A158" i="22"/>
  <c r="E158" i="22" s="1"/>
  <c r="C111" i="36" s="1"/>
  <c r="S152" i="22"/>
  <c r="C125" i="36" s="1"/>
  <c r="I154" i="22"/>
  <c r="G146" i="22"/>
  <c r="E146" i="22"/>
  <c r="C99" i="36" s="1"/>
  <c r="K146" i="22" l="1"/>
  <c r="E154" i="22"/>
  <c r="C107" i="36" s="1"/>
  <c r="G154" i="22"/>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V15" i="46" s="1"/>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W126" i="42" s="1"/>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S49" i="52"/>
  <c r="R49" i="52"/>
  <c r="S81" i="52"/>
  <c r="R81" i="52"/>
  <c r="S113" i="52"/>
  <c r="R113" i="52"/>
  <c r="S145" i="52"/>
  <c r="R145" i="52"/>
  <c r="S177" i="52"/>
  <c r="R177" i="52"/>
  <c r="S209" i="52"/>
  <c r="R209" i="52"/>
  <c r="S241" i="52"/>
  <c r="R241" i="52"/>
  <c r="S27" i="52"/>
  <c r="R27" i="52"/>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G12" i="53"/>
  <c r="AJ12" i="55" a="1"/>
  <c r="AJ12" i="55" s="1"/>
  <c r="AJ13" i="55" s="1" a="1"/>
  <c r="AJ13" i="55" s="1"/>
  <c r="AJ12" i="52" a="1"/>
  <c r="AJ12" i="52" s="1"/>
  <c r="U17" i="52" l="1"/>
  <c r="H150" i="22"/>
  <c r="T157" i="22"/>
  <c r="D130" i="36" s="1"/>
  <c r="D15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U23" i="52"/>
  <c r="U33" i="52"/>
  <c r="U27" i="52"/>
  <c r="U29" i="52"/>
  <c r="U19" i="52"/>
  <c r="U13" i="52"/>
  <c r="U25" i="52"/>
  <c r="U21" i="52"/>
  <c r="U15" i="5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L150" i="22" l="1"/>
  <c r="J146" i="22"/>
  <c r="L148" i="22"/>
  <c r="L157" i="22"/>
  <c r="O12" i="57"/>
  <c r="X12" i="57" s="1"/>
  <c r="AA12" i="57" s="1"/>
  <c r="O12" i="53"/>
  <c r="X12" i="53" s="1"/>
  <c r="AA12" i="53" s="1"/>
  <c r="AE12" i="53" s="1"/>
  <c r="L14" i="57"/>
  <c r="L156" i="22"/>
  <c r="L147" i="22"/>
  <c r="R13" i="57"/>
  <c r="L146" i="22"/>
  <c r="L158" i="22"/>
  <c r="F22" i="36"/>
  <c r="F28" i="36"/>
  <c r="F25" i="36"/>
  <c r="AD12" i="53"/>
  <c r="U258" i="55"/>
  <c r="AT12" i="53"/>
  <c r="W260" i="42"/>
  <c r="U258" i="52"/>
  <c r="AD12" i="57"/>
  <c r="E14" i="53"/>
  <c r="H14" i="53"/>
  <c r="D14" i="53"/>
  <c r="G14" i="53"/>
  <c r="P14" i="53"/>
  <c r="F14" i="53"/>
  <c r="I14" i="53"/>
  <c r="K14" i="53"/>
  <c r="C14" i="53"/>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AG13" i="53"/>
  <c r="C17" i="53"/>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N18" i="53"/>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F13" i="67"/>
  <c r="G13" i="67" s="1"/>
  <c r="F14" i="67"/>
  <c r="G14" i="67" s="1"/>
  <c r="F15" i="67"/>
  <c r="G15" i="67" s="1"/>
  <c r="F16" i="67"/>
  <c r="G16" i="67" s="1"/>
  <c r="F17" i="67"/>
  <c r="G17" i="67" s="1"/>
  <c r="F18" i="67"/>
  <c r="G18" i="67" s="1"/>
  <c r="F19" i="67"/>
  <c r="G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G10" i="67" s="1"/>
  <c r="V236" i="67" l="1"/>
  <c r="V212" i="67"/>
  <c r="V204" i="67"/>
  <c r="V180" i="67"/>
  <c r="V164" i="67"/>
  <c r="V140" i="67"/>
  <c r="V124" i="67"/>
  <c r="V100" i="67"/>
  <c r="V76" i="67"/>
  <c r="V52" i="67"/>
  <c r="V20" i="67"/>
  <c r="V252" i="67"/>
  <c r="V228" i="67"/>
  <c r="V196" i="67"/>
  <c r="V172" i="67"/>
  <c r="V148" i="67"/>
  <c r="V132" i="67"/>
  <c r="V108" i="67"/>
  <c r="V84" i="67"/>
  <c r="V60" i="67"/>
  <c r="V44" i="67"/>
  <c r="V12" i="67"/>
  <c r="V244" i="67"/>
  <c r="V220" i="67"/>
  <c r="V188" i="67"/>
  <c r="V156" i="67"/>
  <c r="V116" i="67"/>
  <c r="V92" i="67"/>
  <c r="V68" i="67"/>
  <c r="V36" i="67"/>
  <c r="V28" i="67"/>
  <c r="AB20" i="57"/>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F56" i="63"/>
  <c r="G56" i="63" s="1"/>
  <c r="F57" i="63"/>
  <c r="G57" i="63" s="1"/>
  <c r="F58" i="63"/>
  <c r="G58" i="63" s="1"/>
  <c r="F59" i="63"/>
  <c r="G59" i="63" s="1"/>
  <c r="V59" i="63" s="1"/>
  <c r="F60" i="63"/>
  <c r="G60" i="63" s="1"/>
  <c r="F61" i="63"/>
  <c r="G61" i="63" s="1"/>
  <c r="V61" i="63" s="1"/>
  <c r="F62" i="63"/>
  <c r="G62" i="63" s="1"/>
  <c r="F63" i="63"/>
  <c r="G63" i="63" s="1"/>
  <c r="F64" i="63"/>
  <c r="G64" i="63" s="1"/>
  <c r="F65" i="63"/>
  <c r="G65" i="63" s="1"/>
  <c r="F66" i="63"/>
  <c r="G66" i="63" s="1"/>
  <c r="F67" i="63"/>
  <c r="G67" i="63" s="1"/>
  <c r="V67" i="63" s="1"/>
  <c r="F68" i="63"/>
  <c r="G68" i="63" s="1"/>
  <c r="F69" i="63"/>
  <c r="G69" i="63" s="1"/>
  <c r="V69" i="63" s="1"/>
  <c r="F70" i="63"/>
  <c r="G70" i="63" s="1"/>
  <c r="F71" i="63"/>
  <c r="G71" i="63" s="1"/>
  <c r="F72" i="63"/>
  <c r="G72" i="63" s="1"/>
  <c r="F73" i="63"/>
  <c r="G73" i="63" s="1"/>
  <c r="F74" i="63"/>
  <c r="G74" i="63" s="1"/>
  <c r="F75" i="63"/>
  <c r="G75" i="63" s="1"/>
  <c r="V75" i="63" s="1"/>
  <c r="F76" i="63"/>
  <c r="G76" i="63" s="1"/>
  <c r="F77" i="63"/>
  <c r="G77" i="63" s="1"/>
  <c r="V77" i="63" s="1"/>
  <c r="F78" i="63"/>
  <c r="G78" i="63" s="1"/>
  <c r="F79" i="63"/>
  <c r="G79" i="63" s="1"/>
  <c r="F80" i="63"/>
  <c r="G80" i="63" s="1"/>
  <c r="F81" i="63"/>
  <c r="G81" i="63" s="1"/>
  <c r="F82" i="63"/>
  <c r="G82" i="63" s="1"/>
  <c r="F83" i="63"/>
  <c r="G83" i="63" s="1"/>
  <c r="V83" i="63" s="1"/>
  <c r="F84" i="63"/>
  <c r="G84" i="63" s="1"/>
  <c r="F85" i="63"/>
  <c r="G85" i="63" s="1"/>
  <c r="V85" i="63" s="1"/>
  <c r="F86" i="63"/>
  <c r="G86" i="63" s="1"/>
  <c r="F87" i="63"/>
  <c r="G87" i="63" s="1"/>
  <c r="F88" i="63"/>
  <c r="G88" i="63" s="1"/>
  <c r="F89" i="63"/>
  <c r="G89" i="63" s="1"/>
  <c r="F90" i="63"/>
  <c r="G90" i="63" s="1"/>
  <c r="F91" i="63"/>
  <c r="G91" i="63" s="1"/>
  <c r="V91" i="63" s="1"/>
  <c r="F92" i="63"/>
  <c r="G92" i="63" s="1"/>
  <c r="F93" i="63"/>
  <c r="G93" i="63" s="1"/>
  <c r="V93" i="63" s="1"/>
  <c r="F94" i="63"/>
  <c r="G94" i="63" s="1"/>
  <c r="F95" i="63"/>
  <c r="G95" i="63" s="1"/>
  <c r="F96" i="63"/>
  <c r="G96" i="63" s="1"/>
  <c r="F97" i="63"/>
  <c r="G97" i="63" s="1"/>
  <c r="F98" i="63"/>
  <c r="G98" i="63" s="1"/>
  <c r="F99" i="63"/>
  <c r="G99" i="63" s="1"/>
  <c r="V99" i="63" s="1"/>
  <c r="F100" i="63"/>
  <c r="G100" i="63" s="1"/>
  <c r="F101" i="63"/>
  <c r="G101" i="63" s="1"/>
  <c r="V101" i="63" s="1"/>
  <c r="F102" i="63"/>
  <c r="G102" i="63" s="1"/>
  <c r="F103" i="63"/>
  <c r="G103" i="63" s="1"/>
  <c r="F104" i="63"/>
  <c r="G104" i="63" s="1"/>
  <c r="F105" i="63"/>
  <c r="G105" i="63" s="1"/>
  <c r="F106" i="63"/>
  <c r="G106" i="63" s="1"/>
  <c r="F107" i="63"/>
  <c r="G107" i="63" s="1"/>
  <c r="V107" i="63" s="1"/>
  <c r="F108" i="63"/>
  <c r="G108" i="63" s="1"/>
  <c r="F109" i="63"/>
  <c r="G109" i="63" s="1"/>
  <c r="V109" i="63" s="1"/>
  <c r="F110" i="63"/>
  <c r="G110" i="63" s="1"/>
  <c r="F111" i="63"/>
  <c r="G111" i="63" s="1"/>
  <c r="F112" i="63"/>
  <c r="G112" i="63" s="1"/>
  <c r="F113" i="63"/>
  <c r="G113" i="63" s="1"/>
  <c r="F114" i="63"/>
  <c r="G114" i="63" s="1"/>
  <c r="F115" i="63"/>
  <c r="G115" i="63" s="1"/>
  <c r="V115" i="63" s="1"/>
  <c r="F116" i="63"/>
  <c r="G116" i="63" s="1"/>
  <c r="F117" i="63"/>
  <c r="G117" i="63" s="1"/>
  <c r="V117" i="63" s="1"/>
  <c r="F118" i="63"/>
  <c r="G118" i="63" s="1"/>
  <c r="F119" i="63"/>
  <c r="G119" i="63" s="1"/>
  <c r="F120" i="63"/>
  <c r="G120" i="63" s="1"/>
  <c r="F121" i="63"/>
  <c r="G121" i="63" s="1"/>
  <c r="F122" i="63"/>
  <c r="G122" i="63" s="1"/>
  <c r="F123" i="63"/>
  <c r="G123" i="63" s="1"/>
  <c r="V123" i="63" s="1"/>
  <c r="F124" i="63"/>
  <c r="G124" i="63" s="1"/>
  <c r="F125" i="63"/>
  <c r="G125" i="63" s="1"/>
  <c r="V125" i="63" s="1"/>
  <c r="F126" i="63"/>
  <c r="G126" i="63" s="1"/>
  <c r="F127" i="63"/>
  <c r="G127" i="63" s="1"/>
  <c r="F128" i="63"/>
  <c r="G128" i="63" s="1"/>
  <c r="F129" i="63"/>
  <c r="G129" i="63" s="1"/>
  <c r="F130" i="63"/>
  <c r="G130" i="63" s="1"/>
  <c r="F131" i="63"/>
  <c r="G131" i="63" s="1"/>
  <c r="V131" i="63" s="1"/>
  <c r="F132" i="63"/>
  <c r="G132" i="63" s="1"/>
  <c r="F133" i="63"/>
  <c r="G133" i="63" s="1"/>
  <c r="V133" i="63" s="1"/>
  <c r="F134" i="63"/>
  <c r="G134" i="63" s="1"/>
  <c r="F135" i="63"/>
  <c r="G135" i="63" s="1"/>
  <c r="F136" i="63"/>
  <c r="G136" i="63" s="1"/>
  <c r="F137" i="63"/>
  <c r="G137" i="63" s="1"/>
  <c r="F138" i="63"/>
  <c r="G138" i="63" s="1"/>
  <c r="F139" i="63"/>
  <c r="G139" i="63" s="1"/>
  <c r="V139" i="63" s="1"/>
  <c r="F140" i="63"/>
  <c r="G140" i="63" s="1"/>
  <c r="F141" i="63"/>
  <c r="G141" i="63" s="1"/>
  <c r="V141" i="63" s="1"/>
  <c r="F142" i="63"/>
  <c r="G142" i="63" s="1"/>
  <c r="F143" i="63"/>
  <c r="G143" i="63" s="1"/>
  <c r="F144" i="63"/>
  <c r="G144" i="63" s="1"/>
  <c r="F145" i="63"/>
  <c r="G145" i="63" s="1"/>
  <c r="F146" i="63"/>
  <c r="G146" i="63" s="1"/>
  <c r="F147" i="63"/>
  <c r="G147" i="63" s="1"/>
  <c r="V147" i="63" s="1"/>
  <c r="F148" i="63"/>
  <c r="G148" i="63" s="1"/>
  <c r="F149" i="63"/>
  <c r="G149" i="63" s="1"/>
  <c r="V149" i="63" s="1"/>
  <c r="F150" i="63"/>
  <c r="G150" i="63" s="1"/>
  <c r="F151" i="63"/>
  <c r="G151" i="63" s="1"/>
  <c r="F152" i="63"/>
  <c r="G152" i="63" s="1"/>
  <c r="F153" i="63"/>
  <c r="G153" i="63" s="1"/>
  <c r="F154" i="63"/>
  <c r="G154" i="63" s="1"/>
  <c r="F155" i="63"/>
  <c r="G155" i="63" s="1"/>
  <c r="V155" i="63" s="1"/>
  <c r="F156" i="63"/>
  <c r="G156" i="63" s="1"/>
  <c r="F157" i="63"/>
  <c r="G157" i="63" s="1"/>
  <c r="V157" i="63" s="1"/>
  <c r="F158" i="63"/>
  <c r="G158" i="63" s="1"/>
  <c r="F159" i="63"/>
  <c r="G159" i="63" s="1"/>
  <c r="F160" i="63"/>
  <c r="G160" i="63" s="1"/>
  <c r="F161" i="63"/>
  <c r="G161" i="63" s="1"/>
  <c r="F162" i="63"/>
  <c r="G162" i="63" s="1"/>
  <c r="F163" i="63"/>
  <c r="G163" i="63" s="1"/>
  <c r="V163" i="63" s="1"/>
  <c r="F164" i="63"/>
  <c r="G164" i="63" s="1"/>
  <c r="F165" i="63"/>
  <c r="G165" i="63" s="1"/>
  <c r="V165" i="63" s="1"/>
  <c r="F166" i="63"/>
  <c r="G166" i="63" s="1"/>
  <c r="F167" i="63"/>
  <c r="G167" i="63" s="1"/>
  <c r="F168" i="63"/>
  <c r="G168" i="63" s="1"/>
  <c r="F169" i="63"/>
  <c r="G169" i="63" s="1"/>
  <c r="F170" i="63"/>
  <c r="G170" i="63" s="1"/>
  <c r="F171" i="63"/>
  <c r="G171" i="63" s="1"/>
  <c r="V171" i="63" s="1"/>
  <c r="F172" i="63"/>
  <c r="G172" i="63" s="1"/>
  <c r="F173" i="63"/>
  <c r="G173" i="63" s="1"/>
  <c r="V173" i="63" s="1"/>
  <c r="F174" i="63"/>
  <c r="G174" i="63" s="1"/>
  <c r="F175" i="63"/>
  <c r="G175" i="63" s="1"/>
  <c r="F176" i="63"/>
  <c r="G176" i="63" s="1"/>
  <c r="F177" i="63"/>
  <c r="G177" i="63" s="1"/>
  <c r="F178" i="63"/>
  <c r="G178" i="63" s="1"/>
  <c r="F179" i="63"/>
  <c r="G179" i="63" s="1"/>
  <c r="V179" i="63" s="1"/>
  <c r="F180" i="63"/>
  <c r="G180" i="63" s="1"/>
  <c r="F181" i="63"/>
  <c r="G181" i="63" s="1"/>
  <c r="V181" i="63" s="1"/>
  <c r="F182" i="63"/>
  <c r="G182" i="63" s="1"/>
  <c r="F183" i="63"/>
  <c r="G183" i="63" s="1"/>
  <c r="F184" i="63"/>
  <c r="G184" i="63" s="1"/>
  <c r="F185" i="63"/>
  <c r="G185" i="63" s="1"/>
  <c r="F186" i="63"/>
  <c r="G186" i="63" s="1"/>
  <c r="F187" i="63"/>
  <c r="G187" i="63" s="1"/>
  <c r="V187" i="63" s="1"/>
  <c r="F188" i="63"/>
  <c r="G188" i="63" s="1"/>
  <c r="F189" i="63"/>
  <c r="G189" i="63" s="1"/>
  <c r="V189" i="63" s="1"/>
  <c r="F190" i="63"/>
  <c r="G190" i="63" s="1"/>
  <c r="F191" i="63"/>
  <c r="G191" i="63" s="1"/>
  <c r="F192" i="63"/>
  <c r="G192" i="63" s="1"/>
  <c r="F193" i="63"/>
  <c r="G193" i="63" s="1"/>
  <c r="F194" i="63"/>
  <c r="G194" i="63" s="1"/>
  <c r="F195" i="63"/>
  <c r="G195" i="63" s="1"/>
  <c r="V195" i="63" s="1"/>
  <c r="F196" i="63"/>
  <c r="G196" i="63" s="1"/>
  <c r="F197" i="63"/>
  <c r="G197" i="63" s="1"/>
  <c r="V197" i="63" s="1"/>
  <c r="F198" i="63"/>
  <c r="G198" i="63" s="1"/>
  <c r="F199" i="63"/>
  <c r="G199" i="63" s="1"/>
  <c r="F200" i="63"/>
  <c r="G200" i="63" s="1"/>
  <c r="F201" i="63"/>
  <c r="G201" i="63" s="1"/>
  <c r="F202" i="63"/>
  <c r="G202" i="63" s="1"/>
  <c r="F203" i="63"/>
  <c r="G203" i="63" s="1"/>
  <c r="V203" i="63" s="1"/>
  <c r="F204" i="63"/>
  <c r="G204" i="63" s="1"/>
  <c r="F205" i="63"/>
  <c r="G205" i="63" s="1"/>
  <c r="V205" i="63" s="1"/>
  <c r="F206" i="63"/>
  <c r="G206" i="63" s="1"/>
  <c r="F207" i="63"/>
  <c r="G207" i="63" s="1"/>
  <c r="F208" i="63"/>
  <c r="G208" i="63" s="1"/>
  <c r="F209" i="63"/>
  <c r="G209" i="63" s="1"/>
  <c r="F210" i="63"/>
  <c r="G210" i="63" s="1"/>
  <c r="F211" i="63"/>
  <c r="G211" i="63" s="1"/>
  <c r="V211" i="63" s="1"/>
  <c r="F212" i="63"/>
  <c r="G212" i="63" s="1"/>
  <c r="F213" i="63"/>
  <c r="G213" i="63" s="1"/>
  <c r="V213" i="63" s="1"/>
  <c r="F214" i="63"/>
  <c r="G214" i="63" s="1"/>
  <c r="F215" i="63"/>
  <c r="G215" i="63" s="1"/>
  <c r="F216" i="63"/>
  <c r="G216" i="63" s="1"/>
  <c r="F217" i="63"/>
  <c r="G217" i="63" s="1"/>
  <c r="F218" i="63"/>
  <c r="G218" i="63" s="1"/>
  <c r="F219" i="63"/>
  <c r="G219" i="63" s="1"/>
  <c r="V219" i="63" s="1"/>
  <c r="F220" i="63"/>
  <c r="G220" i="63" s="1"/>
  <c r="F221" i="63"/>
  <c r="G221" i="63" s="1"/>
  <c r="V221" i="63" s="1"/>
  <c r="F222" i="63"/>
  <c r="G222" i="63" s="1"/>
  <c r="F223" i="63"/>
  <c r="G223" i="63" s="1"/>
  <c r="F224" i="63"/>
  <c r="G224" i="63" s="1"/>
  <c r="F225" i="63"/>
  <c r="G225" i="63" s="1"/>
  <c r="F226" i="63"/>
  <c r="G226" i="63" s="1"/>
  <c r="F227" i="63"/>
  <c r="G227" i="63" s="1"/>
  <c r="V227" i="63" s="1"/>
  <c r="F228" i="63"/>
  <c r="G228" i="63" s="1"/>
  <c r="F229" i="63"/>
  <c r="G229" i="63" s="1"/>
  <c r="V229" i="63" s="1"/>
  <c r="F230" i="63"/>
  <c r="G230" i="63" s="1"/>
  <c r="F231" i="63"/>
  <c r="G231" i="63" s="1"/>
  <c r="F232" i="63"/>
  <c r="G232" i="63" s="1"/>
  <c r="F233" i="63"/>
  <c r="G233" i="63" s="1"/>
  <c r="F234" i="63"/>
  <c r="G234" i="63" s="1"/>
  <c r="F235" i="63"/>
  <c r="G235" i="63" s="1"/>
  <c r="V235" i="63" s="1"/>
  <c r="F236" i="63"/>
  <c r="G236" i="63" s="1"/>
  <c r="F237" i="63"/>
  <c r="G237" i="63" s="1"/>
  <c r="V237" i="63" s="1"/>
  <c r="F238" i="63"/>
  <c r="G238" i="63" s="1"/>
  <c r="F239" i="63"/>
  <c r="G239" i="63" s="1"/>
  <c r="F240" i="63"/>
  <c r="G240" i="63" s="1"/>
  <c r="F241" i="63"/>
  <c r="G241" i="63" s="1"/>
  <c r="F242" i="63"/>
  <c r="G242" i="63" s="1"/>
  <c r="F243" i="63"/>
  <c r="G243" i="63" s="1"/>
  <c r="V243" i="63" s="1"/>
  <c r="F244" i="63"/>
  <c r="G244" i="63" s="1"/>
  <c r="F245" i="63"/>
  <c r="G245" i="63" s="1"/>
  <c r="V245" i="63" s="1"/>
  <c r="F246" i="63"/>
  <c r="G246" i="63" s="1"/>
  <c r="F247" i="63"/>
  <c r="G247" i="63" s="1"/>
  <c r="F248" i="63"/>
  <c r="G248" i="63" s="1"/>
  <c r="F249" i="63"/>
  <c r="G249" i="63" s="1"/>
  <c r="F250" i="63"/>
  <c r="G250" i="63" s="1"/>
  <c r="F251" i="63"/>
  <c r="G251" i="63" s="1"/>
  <c r="V251" i="63" s="1"/>
  <c r="F252" i="63"/>
  <c r="G252" i="63" s="1"/>
  <c r="F253" i="63"/>
  <c r="G253" i="63" s="1"/>
  <c r="V253" i="63" s="1"/>
  <c r="F254" i="63"/>
  <c r="G254" i="63" s="1"/>
  <c r="F255" i="63"/>
  <c r="G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V223" i="63" l="1"/>
  <c r="V167" i="63"/>
  <c r="V255" i="63"/>
  <c r="V215" i="63"/>
  <c r="V175" i="63"/>
  <c r="V127" i="63"/>
  <c r="V87" i="63"/>
  <c r="V143" i="63"/>
  <c r="V103" i="63"/>
  <c r="V55" i="63"/>
  <c r="V239" i="63"/>
  <c r="V207" i="63"/>
  <c r="V183" i="63"/>
  <c r="V135" i="63"/>
  <c r="V95" i="63"/>
  <c r="V71" i="63"/>
  <c r="V247" i="63"/>
  <c r="V199" i="63"/>
  <c r="V159" i="63"/>
  <c r="V119" i="63"/>
  <c r="V79" i="63"/>
  <c r="V39" i="63"/>
  <c r="V231" i="63"/>
  <c r="V191" i="63"/>
  <c r="V151" i="63"/>
  <c r="V111" i="63"/>
  <c r="V63" i="63"/>
  <c r="AB21" i="57"/>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N32" i="53"/>
  <c r="AB12" i="69"/>
  <c r="AC12" i="69" s="1"/>
  <c r="AD12" i="69" s="1"/>
  <c r="L18" i="69"/>
  <c r="O18" i="69"/>
  <c r="L17" i="69"/>
  <c r="O17" i="69"/>
  <c r="W8" i="78"/>
  <c r="U8" i="78"/>
  <c r="W7" i="78"/>
  <c r="U7" i="78"/>
  <c r="W6" i="78"/>
  <c r="U6" i="78"/>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U9" i="78" l="1"/>
  <c r="X31" i="57"/>
  <c r="AA31" i="57" s="1"/>
  <c r="AE31" i="57" s="1"/>
  <c r="AF31" i="57" s="1"/>
  <c r="AB30" i="57"/>
  <c r="AC30" i="57" s="1"/>
  <c r="AJ30" i="57" s="1"/>
  <c r="O32" i="57"/>
  <c r="AG32" i="57" s="1"/>
  <c r="N33" i="57"/>
  <c r="Q32" i="53"/>
  <c r="R32" i="53"/>
  <c r="O32" i="53" s="1"/>
  <c r="AD32" i="53"/>
  <c r="AT32" i="53"/>
  <c r="X31" i="53"/>
  <c r="AA30" i="53"/>
  <c r="AE30" i="53" s="1"/>
  <c r="AF30" i="53" s="1"/>
  <c r="N33" i="53"/>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R34" i="53"/>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N37" i="53"/>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B17" i="22"/>
  <c r="C17" i="22"/>
  <c r="A18" i="22"/>
  <c r="B18" i="22"/>
  <c r="C18" i="22"/>
  <c r="A19" i="22"/>
  <c r="B19" i="22"/>
  <c r="C19" i="22"/>
  <c r="A20" i="22"/>
  <c r="B20" i="22"/>
  <c r="C20" i="22"/>
  <c r="A21" i="22"/>
  <c r="B21" i="22"/>
  <c r="C21" i="22"/>
  <c r="A22" i="22"/>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L40" i="29"/>
  <c r="M40" i="29"/>
  <c r="L41" i="29"/>
  <c r="M41" i="29"/>
  <c r="L42" i="29"/>
  <c r="M42" i="29"/>
  <c r="L43" i="29"/>
  <c r="M43" i="29"/>
  <c r="L44" i="29"/>
  <c r="M44" i="29"/>
  <c r="L45" i="29"/>
  <c r="M45" i="29"/>
  <c r="L36" i="29"/>
  <c r="M36" i="29"/>
  <c r="O11" i="71" l="1"/>
  <c r="AB63" i="57"/>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S15" i="46" s="1"/>
  <c r="T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P18" i="11" s="1"/>
  <c r="W18" i="11" s="1"/>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P28" i="11" l="1"/>
  <c r="W28" i="11" s="1"/>
  <c r="X65" i="57"/>
  <c r="AA65" i="57" s="1"/>
  <c r="AB64" i="57"/>
  <c r="AA64" i="57"/>
  <c r="R13" i="46"/>
  <c r="V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E66" i="57"/>
  <c r="AC66" i="57"/>
  <c r="W210" i="46"/>
  <c r="W13" i="46"/>
  <c r="X13" i="46" s="1"/>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D77" i="22"/>
  <c r="P23" i="1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D81" i="22"/>
  <c r="P27" i="1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D79" i="22"/>
  <c r="P21" i="1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D78" i="22"/>
  <c r="P24" i="1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B65" i="57" l="1"/>
  <c r="W25" i="11"/>
  <c r="W31" i="11"/>
  <c r="W29" i="11"/>
  <c r="W27" i="11"/>
  <c r="W30" i="11"/>
  <c r="W22" i="11"/>
  <c r="W23" i="11"/>
  <c r="W26" i="11"/>
  <c r="W24" i="11"/>
  <c r="W21" i="11"/>
  <c r="AF65" i="57"/>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Q25" i="11" s="1"/>
  <c r="X25" i="11" s="1"/>
  <c r="AC29" i="11"/>
  <c r="Q29" i="11" s="1"/>
  <c r="X29" i="11" s="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Q28" i="11" s="1"/>
  <c r="X28" i="11" s="1"/>
  <c r="AQ28" i="11" s="1"/>
  <c r="AC48" i="11"/>
  <c r="AC56" i="11"/>
  <c r="AC72" i="11"/>
  <c r="AQ72" i="11" s="1"/>
  <c r="AC88" i="11"/>
  <c r="AC104" i="11"/>
  <c r="AQ104" i="11" s="1"/>
  <c r="AC116" i="11"/>
  <c r="AC132" i="11"/>
  <c r="AC152" i="11"/>
  <c r="AC168" i="11"/>
  <c r="AC180" i="11"/>
  <c r="AC196" i="11"/>
  <c r="AC212" i="11"/>
  <c r="AC228" i="11"/>
  <c r="AC240" i="11"/>
  <c r="AC252" i="11"/>
  <c r="AC26" i="1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AC24" i="11"/>
  <c r="Q24" i="11" s="1"/>
  <c r="X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AC30" i="11"/>
  <c r="Q30" i="11" s="1"/>
  <c r="X30" i="11" s="1"/>
  <c r="AC38" i="11"/>
  <c r="AC42" i="11"/>
  <c r="AC50" i="11"/>
  <c r="AC54" i="11"/>
  <c r="AC62" i="11"/>
  <c r="AC23" i="11"/>
  <c r="Q23" i="11" s="1"/>
  <c r="AC27" i="11"/>
  <c r="Q27" i="11" s="1"/>
  <c r="AC31" i="11"/>
  <c r="Q31" i="11" s="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F94" i="22" l="1"/>
  <c r="X31" i="11"/>
  <c r="F89" i="22"/>
  <c r="X27" i="11"/>
  <c r="F59" i="22"/>
  <c r="X23" i="11"/>
  <c r="F47" i="22"/>
  <c r="X22" i="11"/>
  <c r="X19" i="11"/>
  <c r="F22" i="22"/>
  <c r="F21" i="22"/>
  <c r="Q26" i="11"/>
  <c r="X26" i="11" s="1"/>
  <c r="AQ26" i="11" s="1"/>
  <c r="AB76" i="57"/>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39" i="22"/>
  <c r="I53" i="22"/>
  <c r="I46" i="22"/>
  <c r="AL19" i="59" a="1"/>
  <c r="AL19" i="59" s="1"/>
  <c r="E20" i="50" s="1"/>
  <c r="I89" i="22"/>
  <c r="I49" i="22"/>
  <c r="I33" i="22"/>
  <c r="I24" i="22"/>
  <c r="I92" i="22"/>
  <c r="I71" i="22"/>
  <c r="I40" i="22"/>
  <c r="AC15" i="11"/>
  <c r="AC13" i="11"/>
  <c r="Q13" i="11" s="1"/>
  <c r="X13" i="11" s="1"/>
  <c r="AC12" i="11"/>
  <c r="Q12" i="11" s="1"/>
  <c r="F29" i="22" l="1"/>
  <c r="F17" i="22"/>
  <c r="I54" i="22"/>
  <c r="I15" i="22"/>
  <c r="L65" i="69"/>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F12" i="32"/>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G17" i="32"/>
  <c r="A17" i="32"/>
  <c r="N17" i="32"/>
  <c r="B17" i="32"/>
  <c r="O17" i="32"/>
  <c r="H17" i="32"/>
  <c r="G18" i="32"/>
  <c r="M18" i="32"/>
  <c r="O18" i="32"/>
  <c r="I18" i="32"/>
  <c r="J18" i="32"/>
  <c r="K18" i="32"/>
  <c r="H18" i="32"/>
  <c r="A18" i="32"/>
  <c r="L18" i="32"/>
  <c r="B18" i="32"/>
  <c r="F18" i="32"/>
  <c r="N18" i="32"/>
  <c r="N19" i="32"/>
  <c r="O19" i="32"/>
  <c r="H19" i="32"/>
  <c r="G19" i="32"/>
  <c r="I19" i="32"/>
  <c r="F19" i="32"/>
  <c r="J19" i="32"/>
  <c r="A19" i="32"/>
  <c r="K19" i="32"/>
  <c r="B19" i="32"/>
  <c r="L19" i="32"/>
  <c r="M19" i="32"/>
  <c r="J20" i="32"/>
  <c r="K20" i="32"/>
  <c r="M20" i="32"/>
  <c r="F20" i="32"/>
  <c r="N20" i="32"/>
  <c r="L20" i="32"/>
  <c r="G20" i="32"/>
  <c r="A20" i="32"/>
  <c r="O20" i="32"/>
  <c r="B20" i="32"/>
  <c r="I20" i="32"/>
  <c r="H20" i="32"/>
  <c r="L21" i="32"/>
  <c r="K21" i="32"/>
  <c r="M21" i="32"/>
  <c r="J21" i="32"/>
  <c r="F21" i="32"/>
  <c r="A21" i="32"/>
  <c r="N21" i="32"/>
  <c r="B21" i="32"/>
  <c r="G21" i="32"/>
  <c r="O21" i="32"/>
  <c r="H21" i="32"/>
  <c r="I21" i="32"/>
  <c r="O22" i="32"/>
  <c r="J22" i="32"/>
  <c r="I22" i="32"/>
  <c r="K22" i="32"/>
  <c r="H22" i="32"/>
  <c r="L22" i="32"/>
  <c r="A22" i="32"/>
  <c r="M22" i="32"/>
  <c r="B22" i="32"/>
  <c r="F22" i="32"/>
  <c r="G22" i="32"/>
  <c r="F23" i="32"/>
  <c r="G23" i="32"/>
  <c r="H23" i="32"/>
  <c r="O23" i="32"/>
  <c r="I23" i="32"/>
  <c r="N23" i="32"/>
  <c r="J23" i="32"/>
  <c r="A23" i="32"/>
  <c r="K23" i="32"/>
  <c r="B23" i="32"/>
  <c r="L23" i="32"/>
  <c r="M23" i="32"/>
  <c r="I24" i="32"/>
  <c r="J24" i="32"/>
  <c r="K24" i="32"/>
  <c r="F24" i="32"/>
  <c r="M24" i="32"/>
  <c r="N24" i="32"/>
  <c r="L24" i="32"/>
  <c r="G24" i="32"/>
  <c r="A24" i="32"/>
  <c r="O24" i="32"/>
  <c r="B24" i="32"/>
  <c r="H24" i="32"/>
  <c r="AX146" i="69"/>
  <c r="AG163" i="57"/>
  <c r="L163" i="57"/>
  <c r="O103" i="50"/>
  <c r="AJ162" i="57"/>
  <c r="AP162" i="57"/>
  <c r="AH162" i="53"/>
  <c r="AT162" i="53"/>
  <c r="AG162" i="53"/>
  <c r="J16" i="32"/>
  <c r="K16" i="32"/>
  <c r="F16" i="32"/>
  <c r="L16" i="32"/>
  <c r="N16" i="32"/>
  <c r="M16" i="32"/>
  <c r="A16" i="32"/>
  <c r="G16" i="32"/>
  <c r="B16" i="32"/>
  <c r="O16" i="32"/>
  <c r="H16" i="32"/>
  <c r="I16" i="32"/>
  <c r="N163" i="57"/>
  <c r="N163" i="53"/>
  <c r="AH146" i="69"/>
  <c r="AJ101" i="50"/>
  <c r="C101" i="50"/>
  <c r="AD162" i="57"/>
  <c r="AD162" i="53"/>
  <c r="V101" i="50"/>
  <c r="S102" i="50"/>
  <c r="Q162" i="53"/>
  <c r="K163" i="53"/>
  <c r="E163" i="53"/>
  <c r="F163" i="53"/>
  <c r="C163" i="53"/>
  <c r="P163" i="53"/>
  <c r="I163" i="53"/>
  <c r="J163" i="53"/>
  <c r="L163" i="53"/>
  <c r="AK162" i="52" a="1"/>
  <c r="AK162" i="52" s="1"/>
  <c r="B164" i="53" s="1"/>
  <c r="O164" i="53" s="1"/>
  <c r="G163" i="53"/>
  <c r="H163" i="53"/>
  <c r="D163" i="53"/>
  <c r="A93" i="32"/>
  <c r="B93" i="32"/>
  <c r="L103" i="50"/>
  <c r="N103" i="50"/>
  <c r="A103" i="50"/>
  <c r="Q103" i="50" s="1"/>
  <c r="P103" i="50" s="1"/>
  <c r="J103" i="50"/>
  <c r="M103" i="50"/>
  <c r="B103" i="50"/>
  <c r="R103" i="50" s="1"/>
  <c r="F103" i="50"/>
  <c r="K103" i="50"/>
  <c r="G103" i="50"/>
  <c r="I103" i="50"/>
  <c r="H103" i="50"/>
  <c r="B12" i="32"/>
  <c r="B13" i="32"/>
  <c r="A14" i="32"/>
  <c r="B14" i="32"/>
  <c r="A15" i="32"/>
  <c r="B15" i="32"/>
  <c r="I93" i="32"/>
  <c r="J93" i="32"/>
  <c r="L93" i="32"/>
  <c r="F93" i="32"/>
  <c r="AM93" i="32" s="1"/>
  <c r="N93" i="32"/>
  <c r="K93" i="32"/>
  <c r="H93" i="32"/>
  <c r="G93" i="32"/>
  <c r="M93" i="32"/>
  <c r="O93" i="32"/>
  <c r="F13" i="32"/>
  <c r="N13" i="32"/>
  <c r="L14" i="32"/>
  <c r="J15" i="32"/>
  <c r="G13" i="32"/>
  <c r="O13" i="32"/>
  <c r="M14" i="32"/>
  <c r="K15" i="32"/>
  <c r="H13" i="32"/>
  <c r="F14" i="32"/>
  <c r="N14" i="32"/>
  <c r="L15" i="32"/>
  <c r="I13" i="32"/>
  <c r="G14" i="32"/>
  <c r="O14" i="32"/>
  <c r="M15" i="32"/>
  <c r="H15" i="32"/>
  <c r="J13" i="32"/>
  <c r="H14" i="32"/>
  <c r="F15" i="32"/>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92" i="32"/>
  <c r="U90" i="32"/>
  <c r="U89" i="32"/>
  <c r="U85" i="32"/>
  <c r="U81" i="32"/>
  <c r="U77" i="32"/>
  <c r="U72" i="32"/>
  <c r="U71" i="32"/>
  <c r="U65" i="32"/>
  <c r="U64" i="32"/>
  <c r="U53" i="32"/>
  <c r="U44" i="32"/>
  <c r="U41" i="32"/>
  <c r="U38" i="32"/>
  <c r="U37" i="32"/>
  <c r="U28" i="32"/>
  <c r="U25" i="32"/>
  <c r="U88" i="32"/>
  <c r="U91" i="32"/>
  <c r="U86" i="32"/>
  <c r="U79" i="32"/>
  <c r="U78" i="32"/>
  <c r="U75" i="32"/>
  <c r="U68" i="32"/>
  <c r="U62" i="32"/>
  <c r="U54" i="32"/>
  <c r="U52" i="32"/>
  <c r="U51" i="32"/>
  <c r="U48" i="32"/>
  <c r="U46" i="32"/>
  <c r="U40" i="32"/>
  <c r="U39" i="32"/>
  <c r="U32" i="32"/>
  <c r="U26"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S87" i="32"/>
  <c r="S85" i="32"/>
  <c r="S77" i="32"/>
  <c r="S58" i="32"/>
  <c r="S48" i="32"/>
  <c r="S47" i="32"/>
  <c r="S44" i="32"/>
  <c r="S42" i="32"/>
  <c r="S35" i="32"/>
  <c r="S90" i="32"/>
  <c r="S81" i="32"/>
  <c r="S75" i="32"/>
  <c r="S59" i="32"/>
  <c r="S56" i="32"/>
  <c r="S55" i="32"/>
  <c r="S45" i="32"/>
  <c r="S30" i="32"/>
  <c r="S92" i="32"/>
  <c r="S83" i="32"/>
  <c r="S53" i="32"/>
  <c r="S52" i="32"/>
  <c r="S50" i="32"/>
  <c r="S43" i="32"/>
  <c r="S38" i="32"/>
  <c r="S25" i="32"/>
  <c r="S78" i="32"/>
  <c r="S74" i="32"/>
  <c r="S67" i="32"/>
  <c r="S29" i="32"/>
  <c r="S26" i="32"/>
  <c r="S86" i="32"/>
  <c r="S82" i="32"/>
  <c r="S80" i="32"/>
  <c r="S72" i="32"/>
  <c r="S65" i="32"/>
  <c r="S63" i="32"/>
  <c r="S49" i="32"/>
  <c r="S40" i="32"/>
  <c r="S32" i="32"/>
  <c r="S89" i="32"/>
  <c r="S70" i="32"/>
  <c r="S68" i="32"/>
  <c r="S66" i="32"/>
  <c r="S64" i="32"/>
  <c r="S62" i="32"/>
  <c r="S61" i="32"/>
  <c r="S34" i="32"/>
  <c r="S33" i="32"/>
  <c r="S31" i="32"/>
  <c r="S91" i="32"/>
  <c r="S88" i="32"/>
  <c r="S84" i="32"/>
  <c r="S79" i="32"/>
  <c r="S76" i="32"/>
  <c r="S69" i="32"/>
  <c r="S60" i="32"/>
  <c r="S57" i="32"/>
  <c r="S41" i="32"/>
  <c r="S39" i="32"/>
  <c r="S37" i="32"/>
  <c r="S28" i="32"/>
  <c r="S73" i="32"/>
  <c r="S71" i="32"/>
  <c r="S54" i="32"/>
  <c r="S51" i="32"/>
  <c r="S46" i="32"/>
  <c r="S36" i="32"/>
  <c r="S27" i="32"/>
  <c r="AL101" i="50"/>
  <c r="P79" i="32"/>
  <c r="P80" i="32"/>
  <c r="P75" i="32"/>
  <c r="P73" i="32"/>
  <c r="P48" i="32"/>
  <c r="P47" i="32"/>
  <c r="P44" i="32"/>
  <c r="P93" i="32"/>
  <c r="P21" i="32"/>
  <c r="P87" i="32"/>
  <c r="P56" i="32"/>
  <c r="P52" i="32"/>
  <c r="P50" i="32"/>
  <c r="P45" i="32"/>
  <c r="P34" i="32"/>
  <c r="P30" i="32"/>
  <c r="P23" i="32"/>
  <c r="P89" i="32"/>
  <c r="P85" i="32"/>
  <c r="P90" i="32"/>
  <c r="P74" i="32"/>
  <c r="P58" i="32"/>
  <c r="P53" i="32"/>
  <c r="P43" i="32"/>
  <c r="P42" i="32"/>
  <c r="P38" i="32"/>
  <c r="P25" i="32"/>
  <c r="P24" i="32"/>
  <c r="P20" i="32"/>
  <c r="P18" i="32"/>
  <c r="P92" i="32"/>
  <c r="P81" i="32"/>
  <c r="P78" i="32"/>
  <c r="P77" i="32"/>
  <c r="P76" i="32"/>
  <c r="P68" i="32"/>
  <c r="P26" i="32"/>
  <c r="P91" i="32"/>
  <c r="P22" i="32"/>
  <c r="P86" i="32"/>
  <c r="P82" i="32"/>
  <c r="P72" i="32"/>
  <c r="P57" i="32"/>
  <c r="P55" i="32"/>
  <c r="P49" i="32"/>
  <c r="P40" i="32"/>
  <c r="P39" i="32"/>
  <c r="P29" i="32"/>
  <c r="P83" i="32"/>
  <c r="P67" i="32"/>
  <c r="P62" i="32"/>
  <c r="P59" i="32"/>
  <c r="P35" i="32"/>
  <c r="P33" i="32"/>
  <c r="P31" i="32"/>
  <c r="P41" i="32"/>
  <c r="P37" i="32"/>
  <c r="P28" i="32"/>
  <c r="P65" i="32"/>
  <c r="P19" i="32"/>
  <c r="P17" i="32"/>
  <c r="P88" i="32"/>
  <c r="P84" i="32"/>
  <c r="P71" i="32"/>
  <c r="P69" i="32"/>
  <c r="P70" i="32"/>
  <c r="P66" i="32"/>
  <c r="P64" i="32"/>
  <c r="P63" i="32"/>
  <c r="P60" i="32"/>
  <c r="P61" i="32"/>
  <c r="P54" i="32"/>
  <c r="P51" i="32"/>
  <c r="P46" i="32"/>
  <c r="P36" i="32"/>
  <c r="P32" i="32"/>
  <c r="P27" i="32"/>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L164" i="53"/>
  <c r="E164" i="53"/>
  <c r="G164" i="53"/>
  <c r="F164" i="53"/>
  <c r="I164" i="53"/>
  <c r="A94" i="32"/>
  <c r="B94" i="32"/>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P94" i="32"/>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T22" i="32" s="1"/>
  <c r="Z22" i="32"/>
  <c r="V23" i="32"/>
  <c r="AJ23" i="32"/>
  <c r="C23" i="32"/>
  <c r="W23" i="32"/>
  <c r="X23" i="32" s="1"/>
  <c r="T23" i="32" s="1"/>
  <c r="Z23" i="32"/>
  <c r="V21" i="32"/>
  <c r="AJ21" i="32"/>
  <c r="C21" i="32"/>
  <c r="W21" i="32"/>
  <c r="X21" i="32" s="1"/>
  <c r="T21" i="32" s="1"/>
  <c r="Z21" i="32"/>
  <c r="V19" i="32"/>
  <c r="W19" i="32"/>
  <c r="X19" i="32" s="1"/>
  <c r="T19" i="32" s="1"/>
  <c r="Z19" i="32"/>
  <c r="AJ19" i="32"/>
  <c r="C19" i="32"/>
  <c r="V24" i="32"/>
  <c r="Z24" i="32"/>
  <c r="AJ24" i="32"/>
  <c r="C24" i="32"/>
  <c r="W24" i="32"/>
  <c r="X24" i="32" s="1"/>
  <c r="T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U22" i="32" l="1"/>
  <c r="AD22" i="32" s="1"/>
  <c r="U23" i="32"/>
  <c r="AD23" i="32" s="1"/>
  <c r="U24" i="32"/>
  <c r="AD24" i="32" s="1"/>
  <c r="AL78" i="32"/>
  <c r="AL54" i="32"/>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I166" i="53"/>
  <c r="L166" i="53"/>
  <c r="A96" i="32"/>
  <c r="B96" i="32"/>
  <c r="A95" i="32"/>
  <c r="B95" i="32"/>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G14" i="32"/>
  <c r="AG24" i="32"/>
  <c r="AG17" i="32"/>
  <c r="AG16" i="32"/>
  <c r="AG19" i="32"/>
  <c r="AG92" i="32"/>
  <c r="AH92" i="32" s="1"/>
  <c r="AI92" i="32" s="1"/>
  <c r="AN92" i="32" s="1"/>
  <c r="AL92" i="32"/>
  <c r="AG18" i="32"/>
  <c r="U96" i="32"/>
  <c r="AG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P95" i="32"/>
  <c r="P96" i="32"/>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H24" i="32" l="1"/>
  <c r="AI24" i="32" s="1"/>
  <c r="AK24" i="32"/>
  <c r="AL24" i="32" s="1"/>
  <c r="AH23" i="32"/>
  <c r="AI23" i="32" s="1"/>
  <c r="AK23" i="32"/>
  <c r="AL23" i="32" s="1"/>
  <c r="AH22" i="32"/>
  <c r="AI22" i="32" s="1"/>
  <c r="AK22" i="32"/>
  <c r="AL22" i="32" s="1"/>
  <c r="AB165" i="57"/>
  <c r="AA165" i="57"/>
  <c r="AH21" i="32"/>
  <c r="AK21" i="32"/>
  <c r="AL21" i="32" s="1"/>
  <c r="AH20" i="32"/>
  <c r="AK20" i="32"/>
  <c r="AL20" i="32" s="1"/>
  <c r="AH19" i="32"/>
  <c r="AK19" i="32"/>
  <c r="AL19" i="32" s="1"/>
  <c r="AH18" i="32"/>
  <c r="AK18" i="32"/>
  <c r="AL18" i="32" s="1"/>
  <c r="AH17" i="32"/>
  <c r="AK17" i="32"/>
  <c r="AL17" i="32" s="1"/>
  <c r="AH16" i="32"/>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N93" i="32"/>
  <c r="AP104" i="50"/>
  <c r="R167" i="57"/>
  <c r="R167" i="53"/>
  <c r="X167" i="53" s="1"/>
  <c r="AL105" i="50"/>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I168" i="53"/>
  <c r="D168" i="53"/>
  <c r="H168" i="53"/>
  <c r="C168" i="53"/>
  <c r="G168" i="53"/>
  <c r="P168" i="53"/>
  <c r="K168" i="53"/>
  <c r="A97" i="32"/>
  <c r="B97" i="32"/>
  <c r="A98" i="32"/>
  <c r="B98" i="32"/>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I20" i="32" l="1"/>
  <c r="AM20" i="32"/>
  <c r="AM14" i="32"/>
  <c r="AI21" i="32"/>
  <c r="AM21" i="32"/>
  <c r="AI16" i="32"/>
  <c r="AM16" i="32"/>
  <c r="AI17" i="32"/>
  <c r="AM17" i="32"/>
  <c r="AM22" i="32"/>
  <c r="AN22" i="32" s="1"/>
  <c r="AI18" i="32"/>
  <c r="AM18" i="32"/>
  <c r="AM23" i="32"/>
  <c r="AN23" i="32" s="1"/>
  <c r="AI19" i="32"/>
  <c r="AM19" i="32"/>
  <c r="AM24" i="32"/>
  <c r="AN24" i="32" s="1"/>
  <c r="AB166" i="57"/>
  <c r="AA166" i="57"/>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P98" i="32"/>
  <c r="P97" i="32"/>
  <c r="AI1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G169" i="53"/>
  <c r="J169" i="53"/>
  <c r="H169" i="53"/>
  <c r="F169" i="53"/>
  <c r="L169" i="53"/>
  <c r="E169" i="53"/>
  <c r="C169" i="53"/>
  <c r="A99" i="32"/>
  <c r="B99" i="32"/>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N20" i="32" l="1"/>
  <c r="AN21" i="32"/>
  <c r="AN18" i="32"/>
  <c r="AN19" i="32"/>
  <c r="AN17" i="32"/>
  <c r="AN16" i="32"/>
  <c r="AM13" i="32"/>
  <c r="AB167" i="57"/>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P99" i="32"/>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F170" i="53"/>
  <c r="C170" i="53"/>
  <c r="I170" i="53"/>
  <c r="A100" i="32"/>
  <c r="B100" i="32"/>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M15" i="32" l="1"/>
  <c r="AI15" i="32"/>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P100" i="32"/>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C171" i="53"/>
  <c r="K171" i="53"/>
  <c r="E171" i="53"/>
  <c r="J171" i="53"/>
  <c r="F171" i="53"/>
  <c r="H171" i="53"/>
  <c r="D171" i="53"/>
  <c r="L171" i="53"/>
  <c r="P171" i="53"/>
  <c r="A101" i="32"/>
  <c r="B101" i="32"/>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P101" i="32"/>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A102" i="32"/>
  <c r="B102" i="32"/>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P102" i="32"/>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H174" i="53"/>
  <c r="AK173" i="52" a="1"/>
  <c r="AK173" i="52" s="1"/>
  <c r="B175" i="53" s="1"/>
  <c r="O175" i="53" s="1"/>
  <c r="J174" i="53"/>
  <c r="P174" i="53"/>
  <c r="C174" i="53"/>
  <c r="K174" i="53"/>
  <c r="F174" i="53"/>
  <c r="E174" i="53"/>
  <c r="D174" i="53"/>
  <c r="A103" i="32"/>
  <c r="B103" i="32"/>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P103" i="32"/>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D175" i="53"/>
  <c r="C175" i="53"/>
  <c r="H175" i="53"/>
  <c r="AK174" i="52" a="1"/>
  <c r="AK174" i="52" s="1"/>
  <c r="B176" i="53" s="1"/>
  <c r="O176" i="53" s="1"/>
  <c r="J175" i="53"/>
  <c r="E175" i="53"/>
  <c r="F175" i="53"/>
  <c r="A105" i="32"/>
  <c r="B105" i="32"/>
  <c r="A104" i="32"/>
  <c r="B104" i="32"/>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P104" i="32"/>
  <c r="P105" i="32"/>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H176" i="53"/>
  <c r="C176" i="53"/>
  <c r="A106" i="32"/>
  <c r="B106" i="32"/>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P106" i="32"/>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L177" i="53"/>
  <c r="J177" i="53"/>
  <c r="G177" i="53"/>
  <c r="F177" i="53"/>
  <c r="A107" i="32"/>
  <c r="B107" i="32"/>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P107" i="32"/>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G178" i="53"/>
  <c r="I178" i="53"/>
  <c r="H178" i="53"/>
  <c r="P178" i="53"/>
  <c r="L178" i="53"/>
  <c r="A108" i="32"/>
  <c r="B108" i="32"/>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P108" i="32"/>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F179" i="53"/>
  <c r="K179" i="53"/>
  <c r="I179" i="53"/>
  <c r="L179" i="53"/>
  <c r="A109" i="32"/>
  <c r="B109" i="32"/>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P109" i="32"/>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G181" i="53"/>
  <c r="D181" i="53"/>
  <c r="A111" i="32"/>
  <c r="B111" i="32"/>
  <c r="A110" i="32"/>
  <c r="B110" i="32"/>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P111" i="32"/>
  <c r="P110" i="32"/>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K182" i="53"/>
  <c r="I182" i="53"/>
  <c r="L182" i="53"/>
  <c r="F182" i="53"/>
  <c r="P182" i="53"/>
  <c r="D182" i="53"/>
  <c r="A112" i="32"/>
  <c r="B112" i="32"/>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P112" i="32"/>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H183" i="53"/>
  <c r="A113" i="32"/>
  <c r="B113" i="32"/>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P113" i="32"/>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AK183" i="52" a="1"/>
  <c r="AK183" i="52" s="1"/>
  <c r="B185" i="53" s="1"/>
  <c r="O185" i="53" s="1"/>
  <c r="G184" i="53"/>
  <c r="J184" i="53"/>
  <c r="H184" i="53"/>
  <c r="K184" i="53"/>
  <c r="A114" i="32"/>
  <c r="B114" i="32"/>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P114" i="32"/>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G185" i="53"/>
  <c r="E185" i="53"/>
  <c r="C185" i="53"/>
  <c r="K185" i="53"/>
  <c r="P185" i="53"/>
  <c r="J185" i="53"/>
  <c r="F185" i="53"/>
  <c r="L185" i="53"/>
  <c r="I185" i="53"/>
  <c r="D185" i="53"/>
  <c r="H185" i="53"/>
  <c r="A115" i="32"/>
  <c r="B115" i="32"/>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P115" i="32"/>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C186" i="53"/>
  <c r="J186" i="53"/>
  <c r="AK185" i="52" a="1"/>
  <c r="AK185" i="52" s="1"/>
  <c r="B187" i="53" s="1"/>
  <c r="O187" i="53" s="1"/>
  <c r="G186" i="53"/>
  <c r="F186" i="53"/>
  <c r="A116" i="32"/>
  <c r="B116" i="32"/>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P116" i="32"/>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P187" i="53"/>
  <c r="H187" i="53"/>
  <c r="G187" i="53"/>
  <c r="J187" i="53"/>
  <c r="L187" i="53"/>
  <c r="K187" i="53"/>
  <c r="D187" i="53"/>
  <c r="A117" i="32"/>
  <c r="B117" i="32"/>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P117" i="32"/>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F188" i="53"/>
  <c r="L188" i="53"/>
  <c r="P188" i="53"/>
  <c r="Q187" i="53"/>
  <c r="AK187" i="52" a="1"/>
  <c r="AK187" i="52" s="1"/>
  <c r="B189" i="53" s="1"/>
  <c r="O189" i="53" s="1"/>
  <c r="K188" i="53"/>
  <c r="I188" i="53"/>
  <c r="A118" i="32"/>
  <c r="B118" i="32"/>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P118" i="32"/>
  <c r="AX172" i="69"/>
  <c r="AG189" i="57"/>
  <c r="L189" i="57"/>
  <c r="O129" i="50"/>
  <c r="AJ188" i="57"/>
  <c r="AP188" i="57"/>
  <c r="AH188" i="53"/>
  <c r="AT188" i="53"/>
  <c r="AG188" i="53"/>
  <c r="N189" i="57"/>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P119" i="32"/>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K190" i="53"/>
  <c r="E190" i="53"/>
  <c r="A120" i="32"/>
  <c r="B120" i="32"/>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P120" i="32"/>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J191" i="53"/>
  <c r="L191" i="53"/>
  <c r="P191" i="53"/>
  <c r="K191" i="53"/>
  <c r="A121" i="32"/>
  <c r="B121" i="32"/>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P121" i="32"/>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A123" i="32"/>
  <c r="B123" i="32"/>
  <c r="A122" i="32"/>
  <c r="B122" i="32"/>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P122" i="32"/>
  <c r="P123" i="32"/>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K194" i="53"/>
  <c r="A124" i="32"/>
  <c r="B124" i="32"/>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Q21" i="11" s="1"/>
  <c r="F33" i="22" l="1"/>
  <c r="X21" i="11"/>
  <c r="AB192" i="57"/>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P124" i="32"/>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K195" i="53"/>
  <c r="D195" i="53"/>
  <c r="F195" i="53"/>
  <c r="P195" i="53"/>
  <c r="C195" i="53"/>
  <c r="I195" i="53"/>
  <c r="L195" i="53"/>
  <c r="A125" i="32"/>
  <c r="B125" i="32"/>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P125" i="32"/>
  <c r="AQ21" i="11"/>
  <c r="BG8" i="22"/>
  <c r="BG12" i="22"/>
  <c r="G257" i="71"/>
  <c r="S259" i="1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P196" i="53"/>
  <c r="J196" i="53"/>
  <c r="AK195" i="52" a="1"/>
  <c r="AK195" i="52" s="1"/>
  <c r="B197" i="53" s="1"/>
  <c r="O197" i="53" s="1"/>
  <c r="C196" i="53"/>
  <c r="A126" i="32"/>
  <c r="B126" i="32"/>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D24" i="36" l="1"/>
  <c r="F28" i="22"/>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P126" i="32"/>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L197" i="53"/>
  <c r="D197" i="53"/>
  <c r="AK196" i="52" a="1"/>
  <c r="AK196" i="52" s="1"/>
  <c r="B198" i="53" s="1"/>
  <c r="O198" i="53" s="1"/>
  <c r="J197" i="53"/>
  <c r="G197" i="53"/>
  <c r="A127" i="32"/>
  <c r="B127" i="32"/>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P127" i="32"/>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A128" i="32"/>
  <c r="B128" i="32"/>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P128" i="32"/>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E199" i="53"/>
  <c r="P199" i="53"/>
  <c r="K199" i="53"/>
  <c r="A129" i="32"/>
  <c r="B129" i="32"/>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M12" i="32" l="1"/>
  <c r="AB197" i="57"/>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P129" i="32"/>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H200" i="53"/>
  <c r="L200" i="53"/>
  <c r="J200" i="53"/>
  <c r="P200" i="53"/>
  <c r="K200" i="53"/>
  <c r="I200" i="53"/>
  <c r="F200" i="53"/>
  <c r="A130" i="32"/>
  <c r="B130" i="32"/>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P130" i="32"/>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J201" i="53"/>
  <c r="G201" i="53"/>
  <c r="A131" i="32"/>
  <c r="B131" i="32"/>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P131" i="32"/>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J202" i="53"/>
  <c r="P202" i="53"/>
  <c r="G202" i="53"/>
  <c r="E202" i="53"/>
  <c r="L202" i="53"/>
  <c r="A132" i="32"/>
  <c r="B132" i="32"/>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P132" i="32"/>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L203" i="53"/>
  <c r="H203" i="53"/>
  <c r="K203" i="53"/>
  <c r="G203" i="53"/>
  <c r="AK202" i="52" a="1"/>
  <c r="AK202" i="52" s="1"/>
  <c r="B204" i="53" s="1"/>
  <c r="O204" i="53" s="1"/>
  <c r="P203" i="53"/>
  <c r="A133" i="32"/>
  <c r="B133" i="32"/>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P133" i="32"/>
  <c r="AI130" i="32"/>
  <c r="AN130" i="32" s="1"/>
  <c r="AX187" i="69"/>
  <c r="AG204" i="57"/>
  <c r="L204" i="57"/>
  <c r="O144" i="50"/>
  <c r="AJ203" i="57"/>
  <c r="AP203" i="57"/>
  <c r="AH203" i="53"/>
  <c r="AT203" i="53"/>
  <c r="AG203" i="53"/>
  <c r="N204" i="57"/>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P134" i="32"/>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C205" i="53"/>
  <c r="AK204" i="52" a="1"/>
  <c r="AK204" i="52" s="1"/>
  <c r="B206" i="53" s="1"/>
  <c r="O206" i="53" s="1"/>
  <c r="P205" i="53"/>
  <c r="E205" i="53"/>
  <c r="G205" i="53"/>
  <c r="F205" i="53"/>
  <c r="J205" i="53"/>
  <c r="I205" i="53"/>
  <c r="A135" i="32"/>
  <c r="B135" i="32"/>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P135" i="32"/>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F206" i="53"/>
  <c r="G206" i="53"/>
  <c r="K206" i="53"/>
  <c r="H206" i="53"/>
  <c r="E206" i="53"/>
  <c r="C206" i="53"/>
  <c r="AK205" i="52" a="1"/>
  <c r="AK205" i="52" s="1"/>
  <c r="B207" i="53" s="1"/>
  <c r="O207" i="53" s="1"/>
  <c r="L206" i="53"/>
  <c r="I206" i="53"/>
  <c r="A136" i="32"/>
  <c r="B136" i="32"/>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P136" i="32"/>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A138" i="32"/>
  <c r="B138" i="32"/>
  <c r="A137" i="32"/>
  <c r="B137" i="32"/>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P138" i="32"/>
  <c r="P137" i="32"/>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F209" i="53"/>
  <c r="E209" i="53"/>
  <c r="H209" i="53"/>
  <c r="P209" i="53"/>
  <c r="AK208" i="52" a="1"/>
  <c r="AK208" i="52" s="1"/>
  <c r="B210" i="53" s="1"/>
  <c r="O210" i="53" s="1"/>
  <c r="J209" i="53"/>
  <c r="D209" i="53"/>
  <c r="K209" i="53"/>
  <c r="A139" i="32"/>
  <c r="B139" i="32"/>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P139" i="32"/>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G210" i="53"/>
  <c r="AK209" i="52" a="1"/>
  <c r="AK209" i="52" s="1"/>
  <c r="B211" i="53" s="1"/>
  <c r="O211" i="53" s="1"/>
  <c r="F210" i="53"/>
  <c r="L210" i="53"/>
  <c r="E210" i="53"/>
  <c r="C210" i="53"/>
  <c r="H210" i="53"/>
  <c r="J210" i="53"/>
  <c r="P210" i="53"/>
  <c r="D210" i="53"/>
  <c r="A140" i="32"/>
  <c r="B140" i="32"/>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P140" i="32"/>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K211" i="53"/>
  <c r="L211" i="53"/>
  <c r="J211" i="53"/>
  <c r="H211" i="53"/>
  <c r="I211" i="53"/>
  <c r="P211" i="53"/>
  <c r="C211" i="53"/>
  <c r="E211" i="53"/>
  <c r="G211" i="53"/>
  <c r="D211" i="53"/>
  <c r="A141" i="32"/>
  <c r="B141" i="32"/>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P141" i="32"/>
  <c r="AX195" i="69"/>
  <c r="AG212" i="57"/>
  <c r="L212" i="57"/>
  <c r="O152" i="50"/>
  <c r="AJ211" i="57"/>
  <c r="AP211" i="57"/>
  <c r="AH211" i="53"/>
  <c r="AT211" i="53"/>
  <c r="AG211" i="53"/>
  <c r="N212" i="57"/>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P142" i="32"/>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J213" i="53"/>
  <c r="H213" i="53"/>
  <c r="P213" i="53"/>
  <c r="I213" i="53"/>
  <c r="G213" i="53"/>
  <c r="K213" i="53"/>
  <c r="C213" i="53"/>
  <c r="AK212" i="52" a="1"/>
  <c r="AK212" i="52" s="1"/>
  <c r="B214" i="53" s="1"/>
  <c r="O214" i="53" s="1"/>
  <c r="D213" i="53"/>
  <c r="F213" i="53"/>
  <c r="A143" i="32"/>
  <c r="B143" i="32"/>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P143" i="32"/>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P214" i="53"/>
  <c r="E214" i="53"/>
  <c r="K214" i="53"/>
  <c r="L214" i="53"/>
  <c r="I214" i="53"/>
  <c r="AK213" i="52" a="1"/>
  <c r="AK213" i="52" s="1"/>
  <c r="B215" i="53" s="1"/>
  <c r="O215" i="53" s="1"/>
  <c r="D214" i="53"/>
  <c r="G214" i="53"/>
  <c r="A144" i="32"/>
  <c r="B144" i="32"/>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P144" i="32"/>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P216" i="53"/>
  <c r="AK215" i="52" a="1"/>
  <c r="AK215" i="52" s="1"/>
  <c r="B217" i="53" s="1"/>
  <c r="O217" i="53" s="1"/>
  <c r="F216" i="53"/>
  <c r="L216" i="53"/>
  <c r="D216" i="53"/>
  <c r="H216" i="53"/>
  <c r="K216" i="53"/>
  <c r="C216" i="53"/>
  <c r="E216" i="53"/>
  <c r="G216" i="53"/>
  <c r="I216" i="53"/>
  <c r="A146" i="32"/>
  <c r="B146" i="32"/>
  <c r="A145" i="32"/>
  <c r="B145" i="32"/>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P145" i="32"/>
  <c r="P146" i="32"/>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H217" i="53"/>
  <c r="E217" i="53"/>
  <c r="A147" i="32"/>
  <c r="B147" i="32"/>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P147" i="32"/>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AK217" i="52" a="1"/>
  <c r="AK217" i="52" s="1"/>
  <c r="B219" i="53" s="1"/>
  <c r="O219" i="53" s="1"/>
  <c r="D218" i="53"/>
  <c r="I218" i="53"/>
  <c r="F218" i="53"/>
  <c r="H218" i="53"/>
  <c r="E218" i="53"/>
  <c r="C218" i="53"/>
  <c r="P218" i="53"/>
  <c r="J218" i="53"/>
  <c r="K218" i="53"/>
  <c r="A148" i="32"/>
  <c r="B148" i="32"/>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P148" i="32"/>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K219" i="53"/>
  <c r="E219" i="53"/>
  <c r="F219" i="53"/>
  <c r="D219" i="53"/>
  <c r="I219" i="53"/>
  <c r="AK218" i="52" a="1"/>
  <c r="AK218" i="52" s="1"/>
  <c r="B220" i="53" s="1"/>
  <c r="O220" i="53" s="1"/>
  <c r="G219" i="53"/>
  <c r="J219" i="53"/>
  <c r="C219" i="53"/>
  <c r="A149" i="32"/>
  <c r="B149" i="32"/>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P149" i="32"/>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E220" i="53"/>
  <c r="A150" i="32"/>
  <c r="B150" i="32"/>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P150" i="32"/>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F221" i="53"/>
  <c r="AK220" i="52" a="1"/>
  <c r="AK220" i="52" s="1"/>
  <c r="B222" i="53" s="1"/>
  <c r="O222" i="53" s="1"/>
  <c r="J221" i="53"/>
  <c r="D221" i="53"/>
  <c r="A151" i="32"/>
  <c r="B151" i="32"/>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P151" i="32"/>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D222" i="53"/>
  <c r="P222" i="53"/>
  <c r="E222" i="53"/>
  <c r="H222" i="53"/>
  <c r="J222" i="53"/>
  <c r="K222" i="53"/>
  <c r="A152" i="32"/>
  <c r="B152" i="32"/>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P152" i="32"/>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J223" i="53"/>
  <c r="P223" i="53"/>
  <c r="G223" i="53"/>
  <c r="E223" i="53"/>
  <c r="L223" i="53"/>
  <c r="F223" i="53"/>
  <c r="K223" i="53"/>
  <c r="I223" i="53"/>
  <c r="C223" i="53"/>
  <c r="D223" i="53"/>
  <c r="A153" i="32"/>
  <c r="B153" i="32"/>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P153" i="32"/>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F224" i="53"/>
  <c r="L224" i="53"/>
  <c r="AK223" i="52" a="1"/>
  <c r="AK223" i="52" s="1"/>
  <c r="B225" i="53" s="1"/>
  <c r="O225" i="53" s="1"/>
  <c r="G224" i="53"/>
  <c r="K224" i="53"/>
  <c r="P224" i="53"/>
  <c r="H224" i="53"/>
  <c r="A154" i="32"/>
  <c r="B154" i="32"/>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P154" i="32"/>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P225" i="53"/>
  <c r="K225" i="53"/>
  <c r="E225" i="53"/>
  <c r="F225" i="53"/>
  <c r="I225" i="53"/>
  <c r="C225" i="53"/>
  <c r="J225" i="53"/>
  <c r="AK224" i="52" a="1"/>
  <c r="AK224" i="52" s="1"/>
  <c r="B226" i="53" s="1"/>
  <c r="O226" i="53" s="1"/>
  <c r="L225" i="53"/>
  <c r="D225" i="53"/>
  <c r="H225" i="53"/>
  <c r="A155" i="32"/>
  <c r="B155" i="32"/>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P155" i="32"/>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H226" i="53"/>
  <c r="L226" i="53"/>
  <c r="P226" i="53"/>
  <c r="I226" i="53"/>
  <c r="D226" i="53"/>
  <c r="J226" i="53"/>
  <c r="F226" i="53"/>
  <c r="C226" i="53"/>
  <c r="A156" i="32"/>
  <c r="B156" i="32"/>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P156" i="32"/>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I227" i="53"/>
  <c r="G227" i="53"/>
  <c r="J227" i="53"/>
  <c r="D227" i="53"/>
  <c r="L227" i="53"/>
  <c r="K227" i="53"/>
  <c r="C227" i="53"/>
  <c r="H227" i="53"/>
  <c r="F227" i="53"/>
  <c r="A157" i="32"/>
  <c r="B157" i="32"/>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P157" i="32"/>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D228" i="53"/>
  <c r="G228" i="53"/>
  <c r="C228" i="53"/>
  <c r="AK227" i="52" a="1"/>
  <c r="AK227" i="52" s="1"/>
  <c r="B229" i="53" s="1"/>
  <c r="O229" i="53" s="1"/>
  <c r="H228" i="53"/>
  <c r="J228" i="53"/>
  <c r="L228" i="53"/>
  <c r="E228" i="53"/>
  <c r="A158" i="32"/>
  <c r="B158" i="32"/>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P158" i="32"/>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A159" i="32"/>
  <c r="B159" i="32"/>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P159" i="32"/>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J230" i="53"/>
  <c r="E230" i="53"/>
  <c r="I230" i="53"/>
  <c r="F230" i="53"/>
  <c r="D230" i="53"/>
  <c r="H230" i="53"/>
  <c r="P230" i="53"/>
  <c r="A160" i="32"/>
  <c r="B160" i="32"/>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P160" i="32"/>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D232" i="53"/>
  <c r="K232" i="53"/>
  <c r="E232" i="53"/>
  <c r="AK231" i="52" a="1"/>
  <c r="AK231" i="52" s="1"/>
  <c r="B233" i="53" s="1"/>
  <c r="O233" i="53" s="1"/>
  <c r="J232" i="53"/>
  <c r="G232" i="53"/>
  <c r="C232" i="53"/>
  <c r="A162" i="32"/>
  <c r="B162" i="32"/>
  <c r="A161" i="32"/>
  <c r="B161" i="32"/>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P161" i="32"/>
  <c r="P162" i="32"/>
  <c r="AX216" i="69"/>
  <c r="AG233" i="57"/>
  <c r="L233" i="57"/>
  <c r="O173" i="50"/>
  <c r="AJ232" i="57"/>
  <c r="AP232" i="57"/>
  <c r="AH232" i="53"/>
  <c r="AT232" i="53"/>
  <c r="AG232" i="53"/>
  <c r="N233" i="57"/>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P163" i="32"/>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F234" i="53"/>
  <c r="AK233" i="52" a="1"/>
  <c r="AK233" i="52" s="1"/>
  <c r="B235" i="53" s="1"/>
  <c r="O235" i="53" s="1"/>
  <c r="K234" i="53"/>
  <c r="D234" i="53"/>
  <c r="L234" i="53"/>
  <c r="G234" i="53"/>
  <c r="C234" i="53"/>
  <c r="A164" i="32"/>
  <c r="B164" i="32"/>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P164" i="32"/>
  <c r="AX218" i="69"/>
  <c r="L235" i="57"/>
  <c r="AG235" i="57"/>
  <c r="O175" i="50"/>
  <c r="AJ234" i="57"/>
  <c r="AP234" i="57"/>
  <c r="AH234" i="53"/>
  <c r="AT234" i="53"/>
  <c r="AG234" i="53"/>
  <c r="N235" i="57"/>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P165" i="32"/>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J236" i="53"/>
  <c r="L236" i="53"/>
  <c r="A166" i="32"/>
  <c r="B166" i="32"/>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P166" i="32"/>
  <c r="AX220" i="69"/>
  <c r="AG237" i="57"/>
  <c r="L237" i="57"/>
  <c r="O177" i="50"/>
  <c r="AJ236" i="57"/>
  <c r="AP236" i="57"/>
  <c r="AH236" i="53"/>
  <c r="AT236" i="53"/>
  <c r="AG236" i="53"/>
  <c r="N237" i="57"/>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P167" i="32"/>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J238" i="53"/>
  <c r="AK237" i="52" a="1"/>
  <c r="AK237" i="52" s="1"/>
  <c r="B239" i="53" s="1"/>
  <c r="O239" i="53" s="1"/>
  <c r="H238" i="53"/>
  <c r="D238" i="53"/>
  <c r="C238" i="53"/>
  <c r="E238" i="53"/>
  <c r="A168" i="32"/>
  <c r="B168" i="32"/>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P168" i="32"/>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P239" i="53"/>
  <c r="AK238" i="52" a="1"/>
  <c r="AK238" i="52" s="1"/>
  <c r="B240" i="53" s="1"/>
  <c r="O240" i="53" s="1"/>
  <c r="H239" i="53"/>
  <c r="C239" i="53"/>
  <c r="D239" i="53"/>
  <c r="E239" i="53"/>
  <c r="I239" i="53"/>
  <c r="K239" i="53"/>
  <c r="L239" i="53"/>
  <c r="G239" i="53"/>
  <c r="A169" i="32"/>
  <c r="B169" i="32"/>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P169" i="32"/>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K240" i="53"/>
  <c r="A170" i="32"/>
  <c r="B170" i="32"/>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P170" i="32"/>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P241" i="53"/>
  <c r="D241" i="53"/>
  <c r="J241" i="53"/>
  <c r="K241" i="53"/>
  <c r="F241" i="53"/>
  <c r="AK240" i="52" a="1"/>
  <c r="AK240" i="52" s="1"/>
  <c r="B242" i="53" s="1"/>
  <c r="O242" i="53" s="1"/>
  <c r="I241" i="53"/>
  <c r="C241" i="53"/>
  <c r="H241" i="53"/>
  <c r="A171" i="32"/>
  <c r="B171" i="32"/>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P171" i="32"/>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H242" i="53"/>
  <c r="D242" i="53"/>
  <c r="E242" i="53"/>
  <c r="A172" i="32"/>
  <c r="B172" i="32"/>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P172" i="32"/>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L243" i="53"/>
  <c r="G243" i="53"/>
  <c r="E243" i="53"/>
  <c r="C243" i="53"/>
  <c r="D243" i="53"/>
  <c r="AK242" i="52" a="1"/>
  <c r="AK242" i="52" s="1"/>
  <c r="B244" i="53" s="1"/>
  <c r="O244" i="53" s="1"/>
  <c r="H243" i="53"/>
  <c r="A173" i="32"/>
  <c r="B173" i="32"/>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P173" i="32"/>
  <c r="AX227" i="69"/>
  <c r="AG244" i="57"/>
  <c r="L244" i="57"/>
  <c r="O184" i="50"/>
  <c r="AJ243" i="57"/>
  <c r="AP243" i="57"/>
  <c r="AH243" i="53"/>
  <c r="AT243" i="53"/>
  <c r="AG243" i="53"/>
  <c r="N244" i="57"/>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P174" i="32"/>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C245" i="53"/>
  <c r="H245" i="53"/>
  <c r="E245" i="53"/>
  <c r="G245" i="53"/>
  <c r="F245" i="53"/>
  <c r="AK244" i="52" a="1"/>
  <c r="AK244" i="52" s="1"/>
  <c r="B246" i="53" s="1"/>
  <c r="O246" i="53" s="1"/>
  <c r="J245" i="53"/>
  <c r="P245" i="53"/>
  <c r="K245" i="53"/>
  <c r="A175" i="32"/>
  <c r="B175" i="32"/>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P175" i="32"/>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AK245" i="52" a="1"/>
  <c r="AK245" i="52" s="1"/>
  <c r="B247" i="53" s="1"/>
  <c r="O247" i="53" s="1"/>
  <c r="E246" i="53"/>
  <c r="H246" i="53"/>
  <c r="A176" i="32"/>
  <c r="B176" i="32"/>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P176" i="32"/>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D247" i="53"/>
  <c r="A177" i="32"/>
  <c r="B177" i="32"/>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P177" i="32"/>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A178" i="32"/>
  <c r="B178" i="32"/>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P178" i="32"/>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D249" i="53"/>
  <c r="P249" i="53"/>
  <c r="F249" i="53"/>
  <c r="AK248" i="52" a="1"/>
  <c r="AK248" i="52" s="1"/>
  <c r="B250" i="53" s="1"/>
  <c r="O250" i="53" s="1"/>
  <c r="G249" i="53"/>
  <c r="H249" i="53"/>
  <c r="I249" i="53"/>
  <c r="J249" i="53"/>
  <c r="L249" i="53"/>
  <c r="A179" i="32"/>
  <c r="B179" i="32"/>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P179" i="32"/>
  <c r="AX233" i="69"/>
  <c r="AG250" i="57"/>
  <c r="L250" i="57"/>
  <c r="O190" i="50"/>
  <c r="AJ249" i="57"/>
  <c r="AP249" i="57"/>
  <c r="AH249" i="53"/>
  <c r="AT249" i="53"/>
  <c r="AG249" i="53"/>
  <c r="N250" i="57"/>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P180" i="32"/>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P251" i="53"/>
  <c r="AK250" i="52" a="1"/>
  <c r="AK250" i="52" s="1"/>
  <c r="B252" i="53" s="1"/>
  <c r="O252" i="53" s="1"/>
  <c r="H251" i="53"/>
  <c r="C251" i="53"/>
  <c r="E251" i="53"/>
  <c r="F251" i="53"/>
  <c r="L251" i="53"/>
  <c r="D251" i="53"/>
  <c r="A181" i="32"/>
  <c r="B181" i="32"/>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P181" i="32"/>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K253" i="53"/>
  <c r="C253" i="53"/>
  <c r="H253" i="53"/>
  <c r="I253" i="53"/>
  <c r="P253" i="53"/>
  <c r="G253" i="53"/>
  <c r="J253" i="53"/>
  <c r="E253" i="53"/>
  <c r="AK252" i="52" a="1"/>
  <c r="AK252" i="52" s="1"/>
  <c r="B254" i="53" s="1"/>
  <c r="O254" i="53" s="1"/>
  <c r="L253" i="53"/>
  <c r="D253" i="53"/>
  <c r="A183" i="32"/>
  <c r="B183" i="32"/>
  <c r="A182" i="32"/>
  <c r="B182" i="32"/>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P183" i="32"/>
  <c r="P182" i="32"/>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J254" i="53"/>
  <c r="E254" i="53"/>
  <c r="L254" i="53"/>
  <c r="K254" i="53"/>
  <c r="I254" i="53"/>
  <c r="H254" i="53"/>
  <c r="G254" i="53"/>
  <c r="A184" i="32"/>
  <c r="B184" i="32"/>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P184" i="32"/>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A185" i="32"/>
  <c r="B185" i="32"/>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P185" i="32"/>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P256" i="53"/>
  <c r="E256" i="53"/>
  <c r="K256" i="53"/>
  <c r="C256" i="53"/>
  <c r="D256" i="53"/>
  <c r="J256" i="53"/>
  <c r="AK255" i="52" a="1"/>
  <c r="AK255" i="52" s="1"/>
  <c r="B257" i="53" s="1"/>
  <c r="O257" i="53" s="1"/>
  <c r="I256" i="53"/>
  <c r="F256" i="53"/>
  <c r="H256" i="53"/>
  <c r="A186" i="32"/>
  <c r="B186" i="32"/>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P186" i="32"/>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L257" i="53"/>
  <c r="K257" i="53"/>
  <c r="D257" i="53"/>
  <c r="E257" i="53"/>
  <c r="H257" i="53"/>
  <c r="I257" i="53"/>
  <c r="P257" i="53"/>
  <c r="P258" i="53" s="1"/>
  <c r="G257" i="53"/>
  <c r="C257" i="53"/>
  <c r="A187" i="32"/>
  <c r="B187" i="32"/>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P187" i="32"/>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A188" i="32"/>
  <c r="B188" i="32"/>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P188" i="32"/>
  <c r="P189" i="32"/>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P190" i="32"/>
  <c r="AX244" i="69"/>
  <c r="O201" i="50"/>
  <c r="AH244" i="69"/>
  <c r="AJ199" i="50"/>
  <c r="C199" i="50"/>
  <c r="AJ189" i="32"/>
  <c r="C189" i="32"/>
  <c r="AJ188" i="32"/>
  <c r="C188" i="32"/>
  <c r="S200" i="50"/>
  <c r="V199" i="50"/>
  <c r="S190" i="32"/>
  <c r="A191" i="32"/>
  <c r="B191" i="32"/>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P191" i="32"/>
  <c r="AX245" i="69"/>
  <c r="O202" i="50"/>
  <c r="AH245" i="69"/>
  <c r="C190" i="32"/>
  <c r="V190" i="32"/>
  <c r="AJ200" i="50"/>
  <c r="C200" i="50"/>
  <c r="AJ190" i="32"/>
  <c r="S201" i="50"/>
  <c r="V200" i="50"/>
  <c r="S191" i="32"/>
  <c r="V191" i="32" s="1"/>
  <c r="A192" i="32"/>
  <c r="B192" i="32"/>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P192" i="32"/>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P193" i="32"/>
  <c r="AX248" i="69"/>
  <c r="O205" i="50"/>
  <c r="AH248" i="69"/>
  <c r="AJ203" i="50"/>
  <c r="C203" i="50"/>
  <c r="V203" i="50"/>
  <c r="S204" i="50"/>
  <c r="S193" i="32"/>
  <c r="V193" i="32" s="1"/>
  <c r="A195" i="32"/>
  <c r="B195" i="32"/>
  <c r="A194" i="32"/>
  <c r="B194" i="32"/>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P194" i="32"/>
  <c r="P195" i="32"/>
  <c r="AX249" i="69"/>
  <c r="O206" i="50"/>
  <c r="AH249" i="69"/>
  <c r="AJ204" i="50"/>
  <c r="C204" i="50"/>
  <c r="AJ193" i="32"/>
  <c r="C193" i="32"/>
  <c r="S205" i="50"/>
  <c r="V204" i="50"/>
  <c r="S195" i="32"/>
  <c r="V195" i="32" s="1"/>
  <c r="S194" i="32"/>
  <c r="V194" i="32" s="1"/>
  <c r="A196" i="32"/>
  <c r="B196" i="32"/>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P196" i="32"/>
  <c r="AX250" i="69"/>
  <c r="O207" i="50"/>
  <c r="AH250" i="69"/>
  <c r="AJ205" i="50"/>
  <c r="C205" i="50"/>
  <c r="AJ194" i="32"/>
  <c r="C194" i="32"/>
  <c r="AJ195" i="32"/>
  <c r="C195" i="32"/>
  <c r="S206" i="50"/>
  <c r="V205" i="50"/>
  <c r="S196" i="32"/>
  <c r="V196" i="32" s="1"/>
  <c r="A197" i="32"/>
  <c r="B197" i="32"/>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P197" i="32"/>
  <c r="AX251" i="69"/>
  <c r="O208" i="50"/>
  <c r="AH251" i="69"/>
  <c r="AJ206" i="50"/>
  <c r="C206" i="50"/>
  <c r="AJ196" i="32"/>
  <c r="C196" i="32"/>
  <c r="S207" i="50"/>
  <c r="V206" i="50"/>
  <c r="S197" i="32"/>
  <c r="V197" i="32" s="1"/>
  <c r="A198" i="32"/>
  <c r="B198" i="32"/>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P198" i="32"/>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A200" i="32"/>
  <c r="B200" i="32"/>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P200" i="32"/>
  <c r="P199" i="32"/>
  <c r="AX254" i="69"/>
  <c r="O211" i="50"/>
  <c r="AH254" i="69"/>
  <c r="AJ209" i="50"/>
  <c r="C209" i="50"/>
  <c r="S210" i="50"/>
  <c r="V209" i="50"/>
  <c r="S199" i="32"/>
  <c r="V199" i="32" s="1"/>
  <c r="S200" i="32"/>
  <c r="A201" i="32"/>
  <c r="B201" i="32"/>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P201" i="32"/>
  <c r="AI198" i="32"/>
  <c r="AN198" i="32" s="1"/>
  <c r="AX255" i="69"/>
  <c r="O212" i="50"/>
  <c r="AH255" i="69"/>
  <c r="C200" i="32"/>
  <c r="V200" i="32"/>
  <c r="AJ210" i="50"/>
  <c r="C210" i="50"/>
  <c r="AJ199" i="32"/>
  <c r="C199" i="32"/>
  <c r="AJ200" i="32"/>
  <c r="S211" i="50"/>
  <c r="V210" i="50"/>
  <c r="S201" i="32"/>
  <c r="V201" i="32" s="1"/>
  <c r="A202" i="32"/>
  <c r="B202" i="32"/>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P202" i="32"/>
  <c r="AX256" i="69"/>
  <c r="O213" i="50"/>
  <c r="AH256" i="69"/>
  <c r="AJ211" i="50"/>
  <c r="C211" i="50"/>
  <c r="AJ201" i="32"/>
  <c r="C201" i="32"/>
  <c r="S212" i="50"/>
  <c r="V211" i="50"/>
  <c r="S202" i="32"/>
  <c r="V202" i="32" s="1"/>
  <c r="A203" i="32"/>
  <c r="B203" i="32"/>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P203" i="32"/>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P204" i="32"/>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P205" i="32"/>
  <c r="O216" i="50"/>
  <c r="AJ214" i="50"/>
  <c r="C214" i="50"/>
  <c r="AJ204" i="32"/>
  <c r="C204" i="32"/>
  <c r="S215" i="50"/>
  <c r="V214" i="50"/>
  <c r="S205" i="32"/>
  <c r="V205" i="32" s="1"/>
  <c r="A206" i="32"/>
  <c r="B206" i="32"/>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P206" i="32"/>
  <c r="O217" i="50"/>
  <c r="AJ215" i="50"/>
  <c r="C215" i="50"/>
  <c r="AJ205" i="32"/>
  <c r="C205" i="32"/>
  <c r="S216" i="50"/>
  <c r="V215" i="50"/>
  <c r="S206" i="32"/>
  <c r="V206" i="32" s="1"/>
  <c r="A207" i="32"/>
  <c r="B207" i="32"/>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P207" i="32"/>
  <c r="O218" i="50"/>
  <c r="AJ216" i="50"/>
  <c r="C216" i="50"/>
  <c r="AJ206" i="32"/>
  <c r="C206" i="32"/>
  <c r="S217" i="50"/>
  <c r="V216" i="50"/>
  <c r="S207" i="32"/>
  <c r="A208" i="32"/>
  <c r="B208" i="32"/>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P208" i="32"/>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A209" i="32"/>
  <c r="B209" i="32"/>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P209" i="32"/>
  <c r="P210" i="32"/>
  <c r="AP217" i="50"/>
  <c r="O221" i="50"/>
  <c r="AJ219" i="50"/>
  <c r="C219" i="50"/>
  <c r="S220" i="50"/>
  <c r="V219" i="50"/>
  <c r="S209" i="32"/>
  <c r="V209" i="32" s="1"/>
  <c r="S210" i="32"/>
  <c r="A211" i="32"/>
  <c r="B211" i="32"/>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P211" i="32"/>
  <c r="O222" i="50"/>
  <c r="C210" i="32"/>
  <c r="V210" i="32"/>
  <c r="AJ220" i="50"/>
  <c r="C220" i="50"/>
  <c r="AJ209" i="32"/>
  <c r="C209" i="32"/>
  <c r="AJ210" i="32"/>
  <c r="V220" i="50"/>
  <c r="S221" i="50"/>
  <c r="S211" i="32"/>
  <c r="A212" i="32"/>
  <c r="B212" i="32"/>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P212" i="32"/>
  <c r="O223" i="50"/>
  <c r="C211" i="32"/>
  <c r="V211" i="32"/>
  <c r="AJ221" i="50"/>
  <c r="C221" i="50"/>
  <c r="AJ211" i="32"/>
  <c r="V221" i="50"/>
  <c r="S222" i="50"/>
  <c r="S212" i="32"/>
  <c r="V212" i="32" s="1"/>
  <c r="A213" i="32"/>
  <c r="B213" i="32"/>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P213" i="32"/>
  <c r="O224" i="50"/>
  <c r="AJ222" i="50"/>
  <c r="C222" i="50"/>
  <c r="AJ212" i="32"/>
  <c r="C212" i="32"/>
  <c r="V222" i="50"/>
  <c r="S223" i="50"/>
  <c r="S213" i="32"/>
  <c r="A214" i="32"/>
  <c r="B214" i="32"/>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P214" i="32"/>
  <c r="AI211" i="32"/>
  <c r="AN211" i="32" s="1"/>
  <c r="O225" i="50"/>
  <c r="C213" i="32"/>
  <c r="V213" i="32"/>
  <c r="AJ223" i="50"/>
  <c r="C223" i="50"/>
  <c r="AJ213" i="32"/>
  <c r="S224" i="50"/>
  <c r="V223" i="50"/>
  <c r="S214" i="32"/>
  <c r="V214" i="32" s="1"/>
  <c r="A215" i="32"/>
  <c r="B215" i="32"/>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P215" i="32"/>
  <c r="O226" i="50"/>
  <c r="AJ224" i="50"/>
  <c r="C224" i="50"/>
  <c r="AJ214" i="32"/>
  <c r="C214" i="32"/>
  <c r="S225" i="50"/>
  <c r="V224" i="50"/>
  <c r="S215" i="32"/>
  <c r="V215" i="32" s="1"/>
  <c r="A216" i="32"/>
  <c r="B216" i="32"/>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P216" i="32"/>
  <c r="O227" i="50"/>
  <c r="AJ225" i="50"/>
  <c r="C225" i="50"/>
  <c r="AJ215" i="32"/>
  <c r="C215" i="32"/>
  <c r="S226" i="50"/>
  <c r="V225" i="50"/>
  <c r="S216" i="32"/>
  <c r="V216" i="32" s="1"/>
  <c r="A217" i="32"/>
  <c r="B217" i="32"/>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P217" i="32"/>
  <c r="O228" i="50"/>
  <c r="AJ226" i="50"/>
  <c r="C226" i="50"/>
  <c r="AJ216" i="32"/>
  <c r="C216" i="32"/>
  <c r="V226" i="50"/>
  <c r="S227" i="50"/>
  <c r="S217" i="32"/>
  <c r="V217" i="32" s="1"/>
  <c r="A218" i="32"/>
  <c r="B218" i="32"/>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P218" i="32"/>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A219" i="32"/>
  <c r="B219" i="32"/>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P219" i="32"/>
  <c r="P220" i="32"/>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A222" i="32"/>
  <c r="B222" i="32"/>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P221" i="32"/>
  <c r="P222" i="32"/>
  <c r="O233" i="50"/>
  <c r="AJ231" i="50"/>
  <c r="C231" i="50"/>
  <c r="S232" i="50"/>
  <c r="V231" i="50"/>
  <c r="S221" i="32"/>
  <c r="S222" i="32"/>
  <c r="A223" i="32"/>
  <c r="B223" i="32"/>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P223" i="32"/>
  <c r="O234" i="50"/>
  <c r="C222" i="32"/>
  <c r="V222" i="32"/>
  <c r="C221" i="32"/>
  <c r="V221" i="32"/>
  <c r="AJ232" i="50"/>
  <c r="C232" i="50"/>
  <c r="AJ222" i="32"/>
  <c r="AJ221" i="32"/>
  <c r="V232" i="50"/>
  <c r="S233" i="50"/>
  <c r="S223" i="32"/>
  <c r="V223" i="32" s="1"/>
  <c r="A224" i="32"/>
  <c r="B224" i="32"/>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P224" i="32"/>
  <c r="O235" i="50"/>
  <c r="AJ233" i="50"/>
  <c r="C233" i="50"/>
  <c r="AJ223" i="32"/>
  <c r="C223" i="32"/>
  <c r="V233" i="50"/>
  <c r="S234" i="50"/>
  <c r="S224" i="32"/>
  <c r="V224" i="32" s="1"/>
  <c r="A225" i="32"/>
  <c r="B225" i="32"/>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P225" i="32"/>
  <c r="AI221" i="32"/>
  <c r="AN221" i="32" s="1"/>
  <c r="O236" i="50"/>
  <c r="AJ234" i="50"/>
  <c r="C234" i="50"/>
  <c r="AJ224" i="32"/>
  <c r="C224" i="32"/>
  <c r="V234" i="50"/>
  <c r="S235" i="50"/>
  <c r="S225" i="32"/>
  <c r="V225" i="32" s="1"/>
  <c r="A226" i="32"/>
  <c r="B226" i="32"/>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P226" i="32"/>
  <c r="O237" i="50"/>
  <c r="AJ235" i="50"/>
  <c r="C235" i="50"/>
  <c r="AJ225" i="32"/>
  <c r="C225" i="32"/>
  <c r="S236" i="50"/>
  <c r="V235" i="50"/>
  <c r="S226" i="32"/>
  <c r="V226" i="32" s="1"/>
  <c r="A227" i="32"/>
  <c r="B227" i="32"/>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P227" i="32"/>
  <c r="O238" i="50"/>
  <c r="AJ236" i="50"/>
  <c r="C236" i="50"/>
  <c r="AJ226" i="32"/>
  <c r="C226" i="32"/>
  <c r="S237" i="50"/>
  <c r="V236" i="50"/>
  <c r="S227" i="32"/>
  <c r="V227" i="32" s="1"/>
  <c r="A228" i="32"/>
  <c r="B228" i="32"/>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P228" i="32"/>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A229" i="32"/>
  <c r="B229" i="32"/>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P229" i="32"/>
  <c r="P230" i="32"/>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A232" i="32"/>
  <c r="B232" i="32"/>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P232" i="32"/>
  <c r="P231" i="32"/>
  <c r="O243" i="50"/>
  <c r="AJ241" i="50"/>
  <c r="C241" i="50"/>
  <c r="V241" i="50"/>
  <c r="S242" i="50"/>
  <c r="S231" i="32"/>
  <c r="V231" i="32" s="1"/>
  <c r="S232" i="32"/>
  <c r="A233" i="32"/>
  <c r="B233" i="32"/>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P233" i="32"/>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A234" i="32"/>
  <c r="B234" i="32"/>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P235" i="32"/>
  <c r="P234" i="32"/>
  <c r="AI231" i="32"/>
  <c r="AN231" i="32" s="1"/>
  <c r="AI232" i="32"/>
  <c r="AN232" i="32" s="1"/>
  <c r="O246" i="50"/>
  <c r="AJ244" i="50"/>
  <c r="C244" i="50"/>
  <c r="S245" i="50"/>
  <c r="V244" i="50"/>
  <c r="S235" i="32"/>
  <c r="S234" i="32"/>
  <c r="A236" i="32"/>
  <c r="B236" i="32"/>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P236" i="32"/>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A237" i="32"/>
  <c r="B237" i="32"/>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P238" i="32"/>
  <c r="P237" i="32"/>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A239" i="32"/>
  <c r="B239" i="32"/>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P240" i="32"/>
  <c r="P239" i="32"/>
  <c r="O251" i="50"/>
  <c r="AJ249" i="50"/>
  <c r="C249" i="50"/>
  <c r="S250" i="50"/>
  <c r="V249" i="50"/>
  <c r="S240" i="32"/>
  <c r="V240" i="32" s="1"/>
  <c r="S239" i="32"/>
  <c r="V239" i="32" s="1"/>
  <c r="A241" i="32"/>
  <c r="B241" i="32"/>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P241" i="32"/>
  <c r="AI237" i="32"/>
  <c r="AN237" i="32" s="1"/>
  <c r="O252" i="50"/>
  <c r="AJ250" i="50"/>
  <c r="C250" i="50"/>
  <c r="AJ239" i="32"/>
  <c r="C239" i="32"/>
  <c r="AJ240" i="32"/>
  <c r="C240" i="32"/>
  <c r="S251" i="50"/>
  <c r="V250" i="50"/>
  <c r="S241" i="32"/>
  <c r="V241" i="32" s="1"/>
  <c r="A242" i="32"/>
  <c r="B242" i="32"/>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P242" i="32"/>
  <c r="O253" i="50"/>
  <c r="AJ251" i="50"/>
  <c r="C251" i="50"/>
  <c r="AJ241" i="32"/>
  <c r="C241" i="32"/>
  <c r="S252" i="50"/>
  <c r="V251" i="50"/>
  <c r="S242" i="32"/>
  <c r="V242" i="32" s="1"/>
  <c r="A243" i="32"/>
  <c r="B243" i="32"/>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P243" i="32"/>
  <c r="O254" i="50"/>
  <c r="AJ252" i="50"/>
  <c r="C252" i="50"/>
  <c r="AJ242" i="32"/>
  <c r="C242" i="32"/>
  <c r="S253" i="50"/>
  <c r="V252" i="50"/>
  <c r="S243" i="32"/>
  <c r="V243" i="32" s="1"/>
  <c r="A244" i="32"/>
  <c r="B244" i="32"/>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P244" i="32"/>
  <c r="O255" i="50"/>
  <c r="AJ253" i="50"/>
  <c r="C253" i="50"/>
  <c r="AJ243" i="32"/>
  <c r="C243" i="32"/>
  <c r="S254" i="50"/>
  <c r="V253" i="50"/>
  <c r="S244" i="32"/>
  <c r="V244" i="32" s="1"/>
  <c r="A245" i="32"/>
  <c r="B245" i="32"/>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P245" i="32"/>
  <c r="O256" i="50"/>
  <c r="AJ254" i="50"/>
  <c r="C254" i="50"/>
  <c r="AJ244" i="32"/>
  <c r="C244" i="32"/>
  <c r="S255" i="50"/>
  <c r="V254" i="50"/>
  <c r="S245" i="32"/>
  <c r="V245" i="32" s="1"/>
  <c r="A246" i="32"/>
  <c r="B246" i="32"/>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P246" i="32"/>
  <c r="O257" i="50"/>
  <c r="AJ255" i="50"/>
  <c r="C255" i="50"/>
  <c r="AJ245" i="32"/>
  <c r="C245" i="32"/>
  <c r="V255" i="50"/>
  <c r="S256" i="50"/>
  <c r="S246" i="32"/>
  <c r="V246" i="32" s="1"/>
  <c r="A247" i="32"/>
  <c r="B247" i="32"/>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P247" i="32"/>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A248" i="32"/>
  <c r="B248" i="32"/>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P249" i="32"/>
  <c r="P248" i="32"/>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A251" i="32"/>
  <c r="B251" i="32"/>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BC94" i="22" l="1"/>
  <c r="U250" i="32"/>
  <c r="U251" i="32"/>
  <c r="AG249" i="32"/>
  <c r="AH249" i="32" s="1"/>
  <c r="AL249" i="32"/>
  <c r="AG248" i="32"/>
  <c r="AH248" i="32" s="1"/>
  <c r="AL248" i="32"/>
  <c r="BC146" i="22"/>
  <c r="AP258" i="50"/>
  <c r="AP259" i="50" s="1"/>
  <c r="H24" i="73" s="1"/>
  <c r="P251" i="32"/>
  <c r="P250" i="32"/>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A252" i="32"/>
  <c r="B252" i="32"/>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P253" i="32"/>
  <c r="P252" i="32"/>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P254" i="32"/>
  <c r="S254" i="32"/>
  <c r="A255" i="32"/>
  <c r="B255" i="32"/>
  <c r="A256" i="32"/>
  <c r="B256" i="32"/>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P256" i="32"/>
  <c r="P255" i="32"/>
  <c r="AI252" i="32"/>
  <c r="AN252" i="32" s="1"/>
  <c r="C254" i="32"/>
  <c r="V254" i="32"/>
  <c r="AJ254" i="32"/>
  <c r="S255" i="32"/>
  <c r="S256" i="32"/>
  <c r="A257" i="32"/>
  <c r="B257" i="32"/>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P257" i="32"/>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N16" i="65" s="1"/>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AD12" i="65"/>
  <c r="AM12" i="65" s="1"/>
  <c r="AF12" i="65"/>
  <c r="AG12" i="65" s="1"/>
  <c r="D16" i="65" l="1"/>
  <c r="E16" i="65" s="1"/>
  <c r="F16" i="65" s="1"/>
  <c r="G16" i="65" s="1"/>
  <c r="H16" i="65" s="1"/>
  <c r="I16" i="65" s="1"/>
  <c r="J16" i="65" s="1"/>
  <c r="K16" i="65" s="1"/>
  <c r="L19" i="65"/>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<sst xmlns="http://schemas.openxmlformats.org/spreadsheetml/2006/main" count="7074" uniqueCount="1562">
  <si>
    <t>Project details</t>
  </si>
  <si>
    <t>Planning authority:</t>
  </si>
  <si>
    <t>Guildford Borough Council</t>
  </si>
  <si>
    <t>Project name:</t>
  </si>
  <si>
    <t>Tyting Farm Mitigation Bank</t>
  </si>
  <si>
    <t>Applicant:</t>
  </si>
  <si>
    <t>N/A</t>
  </si>
  <si>
    <t>Application type:</t>
  </si>
  <si>
    <t>Planning application reference:</t>
  </si>
  <si>
    <t>Assessor:</t>
  </si>
  <si>
    <t>Helen Evriviades</t>
  </si>
  <si>
    <t>Reviewer:</t>
  </si>
  <si>
    <t>Kate Jeffreys</t>
  </si>
  <si>
    <t>Metric version:</t>
  </si>
  <si>
    <t>Assessment date:</t>
  </si>
  <si>
    <t>21st Oct 2022</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</si>
  <si>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</si>
  <si>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</si>
  <si>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</si>
  <si>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</si>
  <si>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</si>
  <si>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</si>
  <si>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</si>
  <si>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</si>
  <si>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</si>
  <si>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</si>
  <si>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</si>
  <si>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</si>
  <si>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</si>
  <si>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</si>
  <si>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</si>
  <si>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</si>
  <si>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</si>
  <si>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</si>
  <si>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</si>
  <si>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</si>
  <si>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</si>
  <si>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</si>
  <si>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</si>
  <si>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</si>
  <si>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</si>
  <si>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</si>
  <si>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</si>
  <si>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</si>
  <si>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</si>
  <si>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</si>
  <si>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</si>
  <si>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</si>
  <si>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</si>
  <si>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</si>
  <si>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</si>
  <si>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</si>
  <si>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</si>
  <si>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</si>
  <si>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</si>
  <si>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</si>
  <si>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</si>
  <si>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</si>
  <si>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</si>
  <si>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</si>
  <si>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</si>
  <si>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</si>
  <si>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</si>
  <si>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</si>
  <si>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</si>
  <si>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</si>
  <si>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</si>
  <si>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</si>
  <si>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</si>
  <si>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</si>
  <si>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</si>
  <si>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</si>
  <si>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</si>
  <si>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</si>
  <si>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</si>
  <si>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</si>
  <si>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</si>
  <si>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</si>
  <si>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</si>
  <si>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</si>
  <si>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</si>
  <si>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</si>
  <si>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</si>
  <si>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</si>
  <si>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</si>
  <si>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</si>
  <si>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</si>
  <si>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</si>
  <si>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</si>
  <si>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</si>
  <si>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</si>
  <si>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</si>
  <si>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</si>
  <si>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</si>
  <si>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</si>
  <si>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</si>
  <si>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</si>
  <si>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</si>
  <si>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</si>
  <si>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</si>
  <si>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</si>
  <si>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</si>
  <si>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</si>
  <si>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</si>
  <si>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</si>
  <si>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</si>
  <si>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</si>
  <si>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</si>
  <si>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</si>
  <si>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</si>
  <si>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</si>
  <si>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</si>
  <si>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</si>
  <si>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</si>
  <si>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</si>
  <si>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</si>
  <si>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</si>
  <si>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</si>
  <si>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</si>
  <si>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</si>
  <si>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</si>
  <si>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</si>
  <si>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</si>
  <si>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</si>
  <si>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</si>
  <si>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</si>
  <si>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</si>
  <si>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</si>
  <si>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</si>
  <si>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</si>
  <si>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</si>
  <si>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</si>
  <si>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</si>
  <si>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</si>
  <si>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</si>
  <si>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</si>
  <si>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</si>
  <si>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</si>
  <si>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</si>
  <si>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</si>
  <si>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</si>
  <si>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</si>
  <si>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</si>
  <si>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</si>
  <si>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</si>
  <si>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</si>
  <si>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</si>
  <si>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</si>
  <si>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</si>
  <si>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</si>
  <si>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</si>
  <si>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</si>
  <si>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</si>
  <si>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</si>
  <si>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</si>
  <si>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</si>
  <si>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</si>
  <si>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</si>
  <si>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</si>
  <si>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</si>
  <si>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</si>
  <si>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</si>
  <si>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</si>
  <si>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</si>
  <si>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</si>
  <si>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</si>
  <si>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</si>
  <si>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</si>
  <si>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</si>
  <si>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</si>
  <si>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</si>
  <si>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</si>
  <si>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</si>
  <si>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</si>
  <si>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</si>
  <si>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</si>
  <si>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</si>
  <si>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</si>
  <si>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</si>
  <si>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</si>
  <si>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</si>
  <si>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</si>
  <si>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</si>
  <si>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</si>
  <si>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</si>
  <si>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</si>
  <si>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</si>
  <si>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</si>
  <si>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</si>
  <si>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</si>
  <si>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</si>
  <si>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</si>
  <si>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</si>
  <si>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</si>
  <si>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</si>
  <si>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</si>
  <si>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</si>
  <si>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</si>
  <si>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</si>
  <si>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</si>
  <si>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</si>
  <si>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</si>
  <si>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</si>
  <si>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</si>
  <si>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</si>
  <si>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</si>
  <si>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</si>
  <si>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</si>
  <si>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</si>
  <si>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</si>
  <si>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</si>
  <si>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</si>
  <si>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</si>
  <si>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</si>
  <si>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</si>
  <si>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</si>
  <si>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</si>
  <si>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</si>
  <si>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</si>
  <si>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</si>
  <si>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</si>
  <si>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</si>
  <si>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</si>
  <si>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</si>
  <si>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</si>
  <si>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</si>
  <si>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</si>
  <si>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</si>
  <si>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</si>
  <si>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Bracken</t>
  </si>
  <si>
    <t>Condition Assessment N/A</t>
  </si>
  <si>
    <t>Formally identified in local strategy</t>
  </si>
  <si>
    <t>Lowland calcareous grassland</t>
  </si>
  <si>
    <t>Poor</t>
  </si>
  <si>
    <t>Modified grassland</t>
  </si>
  <si>
    <t>Other lowland acid grassland</t>
  </si>
  <si>
    <t>Other neutral grassland</t>
  </si>
  <si>
    <t>Bramble scrub</t>
  </si>
  <si>
    <t>Mixed scrub</t>
  </si>
  <si>
    <t>Ponds (Non- Priority Habitat)</t>
  </si>
  <si>
    <t>Artificial unvegetated, unsealed surface</t>
  </si>
  <si>
    <t>N/A - Other</t>
  </si>
  <si>
    <t>Developed land; sealed surface</t>
  </si>
  <si>
    <t>Open Mosaic Habitats on Previously Developed Land</t>
  </si>
  <si>
    <t>Lowland mixed deciduous woodland</t>
  </si>
  <si>
    <t>Other woodland; broadleaved</t>
  </si>
  <si>
    <t>Other woodland; mixed</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</si>
  <si>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</si>
  <si>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</si>
  <si>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</si>
  <si>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</si>
  <si>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</si>
  <si>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</si>
  <si>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</si>
  <si>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</si>
  <si>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</si>
  <si>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</si>
  <si>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</si>
  <si>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</si>
  <si>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</si>
  <si>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</si>
  <si>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</si>
  <si>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</si>
  <si>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</si>
  <si>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</si>
  <si>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</si>
  <si>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Traditional orchards</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</si>
  <si>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</si>
  <si>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</si>
  <si>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</si>
  <si>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</si>
  <si>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</si>
  <si>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</si>
  <si>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</si>
  <si>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</si>
  <si>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</si>
  <si>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</si>
  <si>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</si>
  <si>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</si>
  <si>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</si>
  <si>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</si>
  <si>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</si>
  <si>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</si>
  <si>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</si>
  <si>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</si>
  <si>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</si>
  <si>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</si>
  <si>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</si>
  <si>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</si>
  <si>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</si>
  <si>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</si>
  <si>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</si>
  <si>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</si>
  <si>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</si>
  <si>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</si>
  <si>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</si>
  <si>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Wood-pasture and parkland</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</si>
  <si>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</si>
  <si>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</si>
  <si>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</si>
  <si>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</si>
  <si>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</si>
  <si>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</si>
  <si>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</si>
  <si>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</si>
  <si>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</si>
  <si>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</si>
  <si>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</si>
  <si>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</si>
  <si>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</si>
  <si>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</si>
  <si>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</si>
  <si>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</si>
  <si>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</si>
  <si>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</si>
  <si>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</si>
  <si>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</si>
  <si>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</si>
  <si>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</si>
  <si>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</si>
  <si>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</si>
  <si>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</si>
  <si>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</si>
  <si>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</si>
  <si>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</si>
  <si>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</si>
  <si>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</si>
  <si>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</si>
  <si>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</si>
  <si>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</si>
  <si>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</si>
  <si>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</si>
  <si>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</si>
  <si>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</si>
  <si>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</si>
  <si>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</si>
  <si>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</si>
  <si>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</si>
  <si>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</si>
  <si>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</si>
  <si>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</si>
  <si>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</si>
  <si>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</si>
  <si>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Proposed (Pre-Populated but can be overridden)</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</si>
  <si>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</si>
  <si>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</si>
  <si>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</si>
  <si>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</si>
  <si>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</si>
  <si>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</si>
  <si>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</si>
  <si>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</si>
  <si>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</si>
  <si>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</si>
  <si>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</si>
  <si>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</si>
  <si>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</si>
  <si>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</si>
  <si>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</si>
  <si>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</si>
  <si>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</si>
  <si>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</si>
  <si>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</si>
  <si>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</si>
  <si>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</si>
  <si>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</si>
  <si>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</si>
  <si>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</si>
  <si>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</si>
  <si>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</si>
  <si>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</si>
  <si>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</si>
  <si>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</si>
  <si>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</si>
  <si>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</si>
  <si>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</si>
  <si>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</si>
  <si>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</si>
  <si>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</si>
  <si>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</si>
  <si>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</si>
  <si>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</si>
  <si>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</si>
  <si>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</si>
  <si>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</si>
  <si>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</si>
  <si>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</si>
  <si>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</si>
  <si>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</si>
  <si>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</si>
  <si>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</si>
  <si>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</si>
  <si>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</si>
  <si>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</si>
  <si>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</si>
  <si>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</si>
  <si>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</si>
  <si>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</si>
  <si>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</si>
  <si>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</si>
  <si>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</si>
  <si>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</si>
  <si>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</si>
  <si>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</si>
  <si>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</si>
  <si>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</si>
  <si>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</si>
  <si>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</si>
  <si>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</si>
  <si>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</si>
  <si>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</si>
  <si>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</si>
  <si>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</si>
  <si>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</si>
  <si>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</si>
  <si>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</si>
  <si>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</si>
  <si>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</si>
  <si>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</si>
  <si>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</si>
  <si>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</si>
  <si>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</si>
  <si>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</si>
  <si>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</si>
  <si>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</si>
  <si>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</si>
  <si>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</si>
  <si>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</si>
  <si>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</si>
  <si>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Horticulture</t>
  </si>
  <si>
    <t>Cropland - Horticulture</t>
  </si>
  <si>
    <t>c1f</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</si>
  <si>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</si>
  <si>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</si>
  <si>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</si>
  <si>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</si>
  <si>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</si>
  <si>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</si>
  <si>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</si>
  <si>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</si>
  <si>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</si>
  <si>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</si>
  <si>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</si>
  <si>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</si>
  <si>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Grassland - Traditional orchards</t>
  </si>
  <si>
    <t xml:space="preserve">Coastal_saltmarsh </t>
  </si>
  <si>
    <t>Grassland - Bracken</t>
  </si>
  <si>
    <t>g1c</t>
  </si>
  <si>
    <t>Acid grassland</t>
  </si>
  <si>
    <t>Intertidal_sediment</t>
  </si>
  <si>
    <t>Floodplain Wetland Mosaic (CFGM)</t>
  </si>
  <si>
    <t>Grassland - Floodplain Wetland Mosaic (CFGM)</t>
  </si>
  <si>
    <t>NE0011</t>
  </si>
  <si>
    <t>Floodplain Wetland Mosaic</t>
  </si>
  <si>
    <t>Intertidal_hard_structures</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</si>
  <si>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</si>
  <si>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</si>
  <si>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</si>
  <si>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</si>
  <si>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</si>
  <si>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</si>
  <si>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</si>
  <si>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</si>
  <si>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</si>
  <si>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</si>
  <si>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</si>
  <si>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</si>
  <si>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</si>
  <si>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</si>
  <si>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Grassland - Modified grassland</t>
  </si>
  <si>
    <t>g4</t>
  </si>
  <si>
    <t>Carried forward</t>
  </si>
  <si>
    <t>Grassland - Other lowland acid grassland</t>
  </si>
  <si>
    <t>g1d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</si>
  <si>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</si>
  <si>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</si>
  <si>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</si>
  <si>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</si>
  <si>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</si>
  <si>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</si>
  <si>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</si>
  <si>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</si>
  <si>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</si>
  <si>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</si>
  <si>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</si>
  <si>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</si>
  <si>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</si>
  <si>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</si>
  <si>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</si>
  <si>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</si>
  <si>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</si>
  <si>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</si>
  <si>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</si>
  <si>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</si>
  <si>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</si>
  <si>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</si>
  <si>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</si>
  <si>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</si>
  <si>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</si>
  <si>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</si>
  <si>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</si>
  <si>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</si>
  <si>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</si>
  <si>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</si>
  <si>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</si>
  <si>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</si>
  <si>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</si>
  <si>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</si>
  <si>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</si>
  <si>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</si>
  <si>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</si>
  <si>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</si>
  <si>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</si>
  <si>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</si>
  <si>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</si>
  <si>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</si>
  <si>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</si>
  <si>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</si>
  <si>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</si>
  <si>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</si>
  <si>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</si>
  <si>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</si>
  <si>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</si>
  <si>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</si>
  <si>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</si>
  <si>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</si>
  <si>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</si>
  <si>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</si>
  <si>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</si>
  <si>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</si>
  <si>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</si>
  <si>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</si>
  <si>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</si>
  <si>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</si>
  <si>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</si>
  <si>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</si>
  <si>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</si>
  <si>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</si>
  <si>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</si>
  <si>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</si>
  <si>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</si>
  <si>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</si>
  <si>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</si>
  <si>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</si>
  <si>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</si>
  <si>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</si>
  <si>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</si>
  <si>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</si>
  <si>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</si>
  <si>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</si>
  <si>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</si>
  <si>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</si>
  <si>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</si>
  <si>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</si>
  <si>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</si>
  <si>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</si>
  <si>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</si>
  <si>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</si>
  <si>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</si>
  <si>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</si>
  <si>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</si>
  <si>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</si>
  <si>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</si>
  <si>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</si>
  <si>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</si>
  <si>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</si>
  <si>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</si>
  <si>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</si>
  <si>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</si>
  <si>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</si>
  <si>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</si>
  <si>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</si>
  <si>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</si>
  <si>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</si>
  <si>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</si>
  <si>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</si>
  <si>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</si>
  <si>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</si>
  <si>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</si>
  <si>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</si>
  <si>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</si>
  <si>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</si>
  <si>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</si>
  <si>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</si>
  <si>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</si>
  <si>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</si>
  <si>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</si>
  <si>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</si>
  <si>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</si>
  <si>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</si>
  <si>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</si>
  <si>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</si>
  <si>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</si>
  <si>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</si>
  <si>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</si>
  <si>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</si>
  <si>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</si>
  <si>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</si>
  <si>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</si>
  <si>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</si>
  <si>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</si>
  <si>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</si>
  <si>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</si>
  <si>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</si>
  <si>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</si>
  <si>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</si>
  <si>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</si>
  <si>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</si>
  <si>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</si>
  <si>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</si>
  <si>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</si>
  <si>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</si>
  <si>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</si>
  <si>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</si>
  <si>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</si>
  <si>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</si>
  <si>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</si>
  <si>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</si>
  <si>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</si>
  <si>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</si>
  <si>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</si>
  <si>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</si>
  <si>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</si>
  <si>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</si>
  <si>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</si>
  <si>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</si>
  <si>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</si>
  <si>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</si>
  <si>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</si>
  <si>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</si>
  <si>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</si>
  <si>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</si>
  <si>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</si>
  <si>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</si>
  <si>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</si>
  <si>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</si>
  <si>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</si>
  <si>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</si>
  <si>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</si>
  <si>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</si>
  <si>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</si>
  <si>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</si>
  <si>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</si>
  <si>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</si>
  <si>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</si>
  <si>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</si>
  <si>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</si>
  <si>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</si>
  <si>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</si>
  <si>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</si>
  <si>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</si>
  <si>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</si>
  <si>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</si>
  <si>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</si>
  <si>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</si>
  <si>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</si>
  <si>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</si>
  <si>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</si>
  <si>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</si>
  <si>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</si>
  <si>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</si>
  <si>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</si>
  <si>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</si>
  <si>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</si>
  <si>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</si>
  <si>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</si>
  <si>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</si>
  <si>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</si>
  <si>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</si>
  <si>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</si>
  <si>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</si>
  <si>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</si>
  <si>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</si>
  <si>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</si>
  <si>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</si>
  <si>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</si>
  <si>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</si>
  <si>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</si>
  <si>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</si>
  <si>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</si>
  <si>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</si>
  <si>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</si>
  <si>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</si>
  <si>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</si>
  <si>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</si>
  <si>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</si>
  <si>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</si>
  <si>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</si>
  <si>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</si>
  <si>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</si>
  <si>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</si>
  <si>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</si>
  <si>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</si>
  <si>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</si>
  <si>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</si>
  <si>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</si>
  <si>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</si>
  <si>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</si>
  <si>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</si>
  <si>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</si>
  <si>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</si>
  <si>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</si>
  <si>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Woodland and forest - Other woodland; broadleaved</t>
  </si>
  <si>
    <t>w1g</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</si>
  <si>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</si>
  <si>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</si>
  <si>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</si>
  <si>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</si>
  <si>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</si>
  <si>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</si>
  <si>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</si>
  <si>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</si>
  <si>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</si>
  <si>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</si>
  <si>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</si>
  <si>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</si>
  <si>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</si>
  <si>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</si>
  <si>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</si>
  <si>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</si>
  <si>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</si>
  <si>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</si>
  <si>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</si>
  <si>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</si>
  <si>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</si>
  <si>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</si>
  <si>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</si>
  <si>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</si>
  <si>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</si>
  <si>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</si>
  <si>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</si>
  <si>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</si>
  <si>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</si>
  <si>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</si>
  <si>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</si>
  <si>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</si>
  <si>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</si>
  <si>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</si>
  <si>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</si>
  <si>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</si>
  <si>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</si>
  <si>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</si>
  <si>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</si>
  <si>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</si>
  <si>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</si>
  <si>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</si>
  <si>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</si>
  <si>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</si>
  <si>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</si>
  <si>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</si>
  <si>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</si>
  <si>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</si>
  <si>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</si>
  <si>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</si>
  <si>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</si>
  <si>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</si>
  <si>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</si>
  <si>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</si>
  <si>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</si>
  <si>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</si>
  <si>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</si>
  <si>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</si>
  <si>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</si>
  <si>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</si>
  <si>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</si>
  <si>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</si>
  <si>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</si>
  <si>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</si>
  <si>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</si>
  <si>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</si>
  <si>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</si>
  <si>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</si>
  <si>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</si>
  <si>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</si>
  <si>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</si>
  <si>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</si>
  <si>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</si>
  <si>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</si>
  <si>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</si>
  <si>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</si>
  <si>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</si>
  <si>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</si>
  <si>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</si>
  <si>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</si>
  <si>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</si>
  <si>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</si>
  <si>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</si>
  <si>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</si>
  <si>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</si>
  <si>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</si>
  <si>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</si>
  <si>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</si>
  <si>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</si>
  <si>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</si>
  <si>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</si>
  <si>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</si>
  <si>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</si>
  <si>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</si>
  <si>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</si>
  <si>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</si>
  <si>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</si>
  <si>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</si>
  <si>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</si>
  <si>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</si>
  <si>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</si>
  <si>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</si>
  <si>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</si>
  <si>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</si>
  <si>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</si>
  <si>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</si>
  <si>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</si>
  <si>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</si>
  <si>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</si>
  <si>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</si>
  <si>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</si>
  <si>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</si>
  <si>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</si>
  <si>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</si>
  <si>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</si>
  <si>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</si>
  <si>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</si>
  <si>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</si>
  <si>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</si>
  <si>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</si>
  <si>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</si>
  <si>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</si>
  <si>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</si>
  <si>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</si>
  <si>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</si>
  <si>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</si>
  <si>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</si>
  <si>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</si>
  <si>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</si>
  <si>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</si>
  <si>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</si>
  <si>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</si>
  <si>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</si>
  <si>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</si>
  <si>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</si>
  <si>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</si>
  <si>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</si>
  <si>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</si>
  <si>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</si>
  <si>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</si>
  <si>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</si>
  <si>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</si>
  <si>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</si>
  <si>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</si>
  <si>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</si>
  <si>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</si>
  <si>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</si>
  <si>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</si>
  <si>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</si>
  <si>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</si>
  <si>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</si>
  <si>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</si>
  <si>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</si>
  <si>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</si>
  <si>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</si>
  <si>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</si>
  <si>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</si>
  <si>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</si>
  <si>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</si>
  <si>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</si>
  <si>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</si>
  <si>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</si>
  <si>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</si>
  <si>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</si>
  <si>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</si>
  <si>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</si>
  <si>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</si>
  <si>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</si>
  <si>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</si>
  <si>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</si>
  <si>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</si>
  <si>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</si>
  <si>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</si>
  <si>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</si>
  <si>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</si>
  <si>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</si>
  <si>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</si>
  <si>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</si>
  <si>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</si>
  <si>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</si>
  <si>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</si>
  <si>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</si>
  <si>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</si>
  <si>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</si>
  <si>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</si>
  <si>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</si>
  <si>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</si>
  <si>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</si>
  <si>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</si>
  <si>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</si>
  <si>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</si>
  <si>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</si>
  <si>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</si>
  <si>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</si>
  <si>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</si>
  <si>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</si>
  <si>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</si>
  <si>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</si>
  <si>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</si>
  <si>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</si>
  <si>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</si>
  <si>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</si>
  <si>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</si>
  <si>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</si>
  <si>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</si>
  <si>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</si>
  <si>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</si>
  <si>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</si>
  <si>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</si>
  <si>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</si>
  <si>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</si>
  <si>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</si>
  <si>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</si>
  <si>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</si>
  <si>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</si>
  <si>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</si>
  <si>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</si>
  <si>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</si>
  <si>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</si>
  <si>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</si>
  <si>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</si>
  <si>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</si>
  <si>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</si>
  <si>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</si>
  <si>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</si>
  <si>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</si>
  <si>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</si>
  <si>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</si>
  <si>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</si>
  <si>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</si>
  <si>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</si>
  <si>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</si>
  <si>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</si>
  <si>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</si>
  <si>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</si>
  <si>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</si>
  <si>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</si>
  <si>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</si>
  <si>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</si>
  <si>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</si>
  <si>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</si>
  <si>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</si>
  <si>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</si>
  <si>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</si>
  <si>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</si>
  <si>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</si>
  <si>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</si>
  <si>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</si>
  <si>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</si>
  <si>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</si>
  <si>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</si>
  <si>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</si>
  <si>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</si>
  <si>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</si>
  <si>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</si>
  <si>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</si>
  <si>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</si>
  <si>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</si>
  <si>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</si>
  <si>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</si>
  <si>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</si>
  <si>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</si>
  <si>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</si>
  <si>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</si>
  <si>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</si>
  <si>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</si>
  <si>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</si>
  <si>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</si>
  <si>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</si>
  <si>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</si>
  <si>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</si>
  <si>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</si>
  <si>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</si>
  <si>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</si>
  <si>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</si>
  <si>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</si>
  <si>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</si>
  <si>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</si>
  <si>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</si>
  <si>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</si>
  <si>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</si>
  <si>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</si>
  <si>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</si>
  <si>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</si>
  <si>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</si>
  <si>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</si>
  <si>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</si>
  <si>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</si>
  <si>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</si>
  <si>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</si>
  <si>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</si>
  <si>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</si>
  <si>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</si>
  <si>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</si>
  <si>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</si>
  <si>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</si>
  <si>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</si>
  <si>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</si>
  <si>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</si>
  <si>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</si>
  <si>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</si>
  <si>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</si>
  <si>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</si>
  <si>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</si>
  <si>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</si>
  <si>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</si>
  <si>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</si>
  <si>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</si>
  <si>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</si>
  <si>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</si>
  <si>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</si>
  <si>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</si>
  <si>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</si>
  <si>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</si>
  <si>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</si>
  <si>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Distinctivness Score</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</si>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</sst>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3.6708000000000003</c:v>
                </c:pt>
                <c:pt idx="1">
                  <c:v>41.501799999999996</c:v>
                </c:pt>
                <c:pt idx="2">
                  <c:v>0.74680000000000002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10.384499999999999</c:v>
                </c:pt>
                <c:pt idx="1">
                  <c:v>14.6211</c:v>
                </c:pt>
                <c:pt idx="2">
                  <c:v>1.7410999999999999</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1.6559999999999999</c:v>
                </c:pt>
                <c:pt idx="5">
                  <c:v>0</c:v>
                </c:pt>
                <c:pt idx="6">
                  <c:v>7.7417999999999996</c:v>
                </c:pt>
                <c:pt idx="7">
                  <c:v>0</c:v>
                </c:pt>
                <c:pt idx="8">
                  <c:v>0</c:v>
                </c:pt>
                <c:pt idx="9">
                  <c:v>15.248999999999997</c:v>
                </c:pt>
                <c:pt idx="10">
                  <c:v>2.0998999999999999</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8.1818526552867006</c:v>
                </c:pt>
                <c:pt idx="2">
                  <c:v>0</c:v>
                </c:pt>
                <c:pt idx="3">
                  <c:v>0</c:v>
                </c:pt>
                <c:pt idx="4">
                  <c:v>2.7809076222074998</c:v>
                </c:pt>
                <c:pt idx="5">
                  <c:v>0</c:v>
                </c:pt>
                <c:pt idx="6">
                  <c:v>39.080093827447314</c:v>
                </c:pt>
                <c:pt idx="7">
                  <c:v>0</c:v>
                </c:pt>
                <c:pt idx="8">
                  <c:v>0</c:v>
                </c:pt>
                <c:pt idx="9">
                  <c:v>5.3803398539625</c:v>
                </c:pt>
                <c:pt idx="10">
                  <c:v>0.35879999999999995</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1.6559999999999999</c:v>
                </c:pt>
                <c:pt idx="5">
                  <c:v>0</c:v>
                </c:pt>
                <c:pt idx="6">
                  <c:v>7.7417999999999996</c:v>
                </c:pt>
                <c:pt idx="7">
                  <c:v>0</c:v>
                </c:pt>
                <c:pt idx="8">
                  <c:v>0</c:v>
                </c:pt>
                <c:pt idx="9">
                  <c:v>15.248999999999997</c:v>
                </c:pt>
                <c:pt idx="10">
                  <c:v>2.0998999999999999</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8.1818526552867006</c:v>
                </c:pt>
                <c:pt idx="2">
                  <c:v>0</c:v>
                </c:pt>
                <c:pt idx="3">
                  <c:v>0</c:v>
                </c:pt>
                <c:pt idx="4">
                  <c:v>2.7809076222074998</c:v>
                </c:pt>
                <c:pt idx="5">
                  <c:v>0</c:v>
                </c:pt>
                <c:pt idx="6">
                  <c:v>39.080093827447314</c:v>
                </c:pt>
                <c:pt idx="7">
                  <c:v>0</c:v>
                </c:pt>
                <c:pt idx="8">
                  <c:v>0</c:v>
                </c:pt>
                <c:pt idx="9">
                  <c:v>5.3803398539625</c:v>
                </c:pt>
                <c:pt idx="10">
                  <c:v>0.35879999999999995</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8.1818526552867006</c:v>
                </c:pt>
                <c:pt idx="2">
                  <c:v>0</c:v>
                </c:pt>
                <c:pt idx="3">
                  <c:v>0</c:v>
                </c:pt>
                <c:pt idx="4">
                  <c:v>1.1249076222074998</c:v>
                </c:pt>
                <c:pt idx="5">
                  <c:v>0</c:v>
                </c:pt>
                <c:pt idx="6">
                  <c:v>31.338293827447316</c:v>
                </c:pt>
                <c:pt idx="7">
                  <c:v>0</c:v>
                </c:pt>
                <c:pt idx="8">
                  <c:v>0</c:v>
                </c:pt>
                <c:pt idx="9">
                  <c:v>-9.868660146037497</c:v>
                </c:pt>
                <c:pt idx="10">
                  <c:v>-1.7410999999999999</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0.12</c:v>
                </c:pt>
                <c:pt idx="5">
                  <c:v>0</c:v>
                </c:pt>
                <c:pt idx="6">
                  <c:v>0.61499999999999999</c:v>
                </c:pt>
                <c:pt idx="7">
                  <c:v>0</c:v>
                </c:pt>
                <c:pt idx="8">
                  <c:v>0</c:v>
                </c:pt>
                <c:pt idx="9">
                  <c:v>3.9550000000000001</c:v>
                </c:pt>
                <c:pt idx="10">
                  <c:v>0.63</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0.80600000000000005</c:v>
                </c:pt>
                <c:pt idx="2">
                  <c:v>0</c:v>
                </c:pt>
                <c:pt idx="3">
                  <c:v>0</c:v>
                </c:pt>
                <c:pt idx="4">
                  <c:v>0.245</c:v>
                </c:pt>
                <c:pt idx="5">
                  <c:v>0</c:v>
                </c:pt>
                <c:pt idx="6">
                  <c:v>3.4369999999999998</c:v>
                </c:pt>
                <c:pt idx="7">
                  <c:v>0</c:v>
                </c:pt>
                <c:pt idx="8">
                  <c:v>0</c:v>
                </c:pt>
                <c:pt idx="9">
                  <c:v>1.133</c:v>
                </c:pt>
                <c:pt idx="10">
                  <c:v>5.1999999999999998E-2</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0.12</c:v>
                </c:pt>
                <c:pt idx="5">
                  <c:v>0</c:v>
                </c:pt>
                <c:pt idx="6">
                  <c:v>0.61499999999999999</c:v>
                </c:pt>
                <c:pt idx="7">
                  <c:v>0</c:v>
                </c:pt>
                <c:pt idx="8">
                  <c:v>0</c:v>
                </c:pt>
                <c:pt idx="9">
                  <c:v>3.9550000000000001</c:v>
                </c:pt>
                <c:pt idx="10">
                  <c:v>0.63</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0.80600000000000005</c:v>
                </c:pt>
                <c:pt idx="2">
                  <c:v>0</c:v>
                </c:pt>
                <c:pt idx="3">
                  <c:v>0</c:v>
                </c:pt>
                <c:pt idx="4">
                  <c:v>0.245</c:v>
                </c:pt>
                <c:pt idx="5">
                  <c:v>0</c:v>
                </c:pt>
                <c:pt idx="6">
                  <c:v>3.4369999999999998</c:v>
                </c:pt>
                <c:pt idx="7">
                  <c:v>0</c:v>
                </c:pt>
                <c:pt idx="8">
                  <c:v>0</c:v>
                </c:pt>
                <c:pt idx="9">
                  <c:v>1.133</c:v>
                </c:pt>
                <c:pt idx="10">
                  <c:v>5.1999999999999998E-2</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0.80600000000000005</c:v>
                </c:pt>
                <c:pt idx="2">
                  <c:v>0</c:v>
                </c:pt>
                <c:pt idx="3">
                  <c:v>0</c:v>
                </c:pt>
                <c:pt idx="4">
                  <c:v>0.125</c:v>
                </c:pt>
                <c:pt idx="5">
                  <c:v>0</c:v>
                </c:pt>
                <c:pt idx="6">
                  <c:v>2.8220000000000001</c:v>
                </c:pt>
                <c:pt idx="7">
                  <c:v>0</c:v>
                </c:pt>
                <c:pt idx="8">
                  <c:v>0</c:v>
                </c:pt>
                <c:pt idx="9">
                  <c:v>-2.8220000000000001</c:v>
                </c:pt>
                <c:pt idx="10">
                  <c:v>-0.57799999999999996</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60.201809999999988</c:v>
                </c:pt>
                <c:pt idx="1">
                  <c:v>235.55449999999996</c:v>
                </c:pt>
                <c:pt idx="2">
                  <c:v>2.8777599999999999</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37.841499999999996</c:v>
                </c:pt>
                <c:pt idx="2">
                  <c:v>0.4098</c:v>
                </c:pt>
                <c:pt idx="3">
                  <c:v>4.36E-2</c:v>
                </c:pt>
                <c:pt idx="4">
                  <c:v>0</c:v>
                </c:pt>
                <c:pt idx="5">
                  <c:v>0.97340000000000004</c:v>
                </c:pt>
                <c:pt idx="6">
                  <c:v>0</c:v>
                </c:pt>
                <c:pt idx="7">
                  <c:v>6.6510999999999996</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37.795099999999998</c:v>
                </c:pt>
                <c:pt idx="2">
                  <c:v>0</c:v>
                </c:pt>
                <c:pt idx="3">
                  <c:v>4.36E-2</c:v>
                </c:pt>
                <c:pt idx="4">
                  <c:v>0</c:v>
                </c:pt>
                <c:pt idx="5">
                  <c:v>0.54249999999999998</c:v>
                </c:pt>
                <c:pt idx="6">
                  <c:v>0</c:v>
                </c:pt>
                <c:pt idx="7">
                  <c:v>7.5381999999999998</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190.91333999999998</c:v>
                </c:pt>
                <c:pt idx="2">
                  <c:v>2.8777599999999999</c:v>
                </c:pt>
                <c:pt idx="3">
                  <c:v>0.40111999999999998</c:v>
                </c:pt>
                <c:pt idx="4">
                  <c:v>0</c:v>
                </c:pt>
                <c:pt idx="5">
                  <c:v>1.29582</c:v>
                </c:pt>
                <c:pt idx="6">
                  <c:v>0</c:v>
                </c:pt>
                <c:pt idx="7">
                  <c:v>103.14602999999997</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323.51214751154203</c:v>
                </c:pt>
                <c:pt idx="2">
                  <c:v>0</c:v>
                </c:pt>
                <c:pt idx="3">
                  <c:v>0.51764748601662514</c:v>
                </c:pt>
                <c:pt idx="4">
                  <c:v>0</c:v>
                </c:pt>
                <c:pt idx="5">
                  <c:v>0</c:v>
                </c:pt>
                <c:pt idx="6">
                  <c:v>0</c:v>
                </c:pt>
                <c:pt idx="7">
                  <c:v>115.90799889666741</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0.4098</c:v>
                </c:pt>
                <c:pt idx="3">
                  <c:v>0</c:v>
                </c:pt>
                <c:pt idx="4">
                  <c:v>0.33700000000000002</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190.91333999999998</c:v>
                </c:pt>
                <c:pt idx="2">
                  <c:v>2.8777599999999999</c:v>
                </c:pt>
                <c:pt idx="3">
                  <c:v>0.40111999999999998</c:v>
                </c:pt>
                <c:pt idx="4">
                  <c:v>0</c:v>
                </c:pt>
                <c:pt idx="5">
                  <c:v>1.29582</c:v>
                </c:pt>
                <c:pt idx="6">
                  <c:v>0</c:v>
                </c:pt>
                <c:pt idx="7">
                  <c:v>103.14602999999997</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323.51214751154203</c:v>
                </c:pt>
                <c:pt idx="2">
                  <c:v>0</c:v>
                </c:pt>
                <c:pt idx="3">
                  <c:v>0.51764748601662514</c:v>
                </c:pt>
                <c:pt idx="4">
                  <c:v>0</c:v>
                </c:pt>
                <c:pt idx="5">
                  <c:v>0</c:v>
                </c:pt>
                <c:pt idx="6">
                  <c:v>0</c:v>
                </c:pt>
                <c:pt idx="7">
                  <c:v>115.90799889666741</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132.59880751154205</c:v>
                </c:pt>
                <c:pt idx="2">
                  <c:v>-2.8777599999999999</c:v>
                </c:pt>
                <c:pt idx="3">
                  <c:v>0.11652748601662516</c:v>
                </c:pt>
                <c:pt idx="4">
                  <c:v>0</c:v>
                </c:pt>
                <c:pt idx="5">
                  <c:v>-1.29582</c:v>
                </c:pt>
                <c:pt idx="6">
                  <c:v>0</c:v>
                </c:pt>
                <c:pt idx="7">
                  <c:v>12.76196889666744</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37.841499999999996</c:v>
                </c:pt>
                <c:pt idx="2">
                  <c:v>0.4098</c:v>
                </c:pt>
                <c:pt idx="3">
                  <c:v>4.36E-2</c:v>
                </c:pt>
                <c:pt idx="4">
                  <c:v>0</c:v>
                </c:pt>
                <c:pt idx="5">
                  <c:v>0.97340000000000004</c:v>
                </c:pt>
                <c:pt idx="6">
                  <c:v>0</c:v>
                </c:pt>
                <c:pt idx="7">
                  <c:v>6.6510999999999996</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37.795099999999998</c:v>
                </c:pt>
                <c:pt idx="2">
                  <c:v>0</c:v>
                </c:pt>
                <c:pt idx="3">
                  <c:v>4.36E-2</c:v>
                </c:pt>
                <c:pt idx="4">
                  <c:v>0</c:v>
                </c:pt>
                <c:pt idx="5">
                  <c:v>0.54249999999999998</c:v>
                </c:pt>
                <c:pt idx="6">
                  <c:v>0</c:v>
                </c:pt>
                <c:pt idx="7">
                  <c:v>7.5381999999999998</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-4.6399999999998442E-2</c:v>
                </c:pt>
                <c:pt idx="2">
                  <c:v>-0.4098</c:v>
                </c:pt>
                <c:pt idx="3">
                  <c:v>0</c:v>
                </c:pt>
                <c:pt idx="4">
                  <c:v>0</c:v>
                </c:pt>
                <c:pt idx="5">
                  <c:v>-0.43090000000000006</c:v>
                </c:pt>
                <c:pt idx="6">
                  <c:v>0</c:v>
                </c:pt>
                <c:pt idx="7">
                  <c:v>0.88710000000000022</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0.57800000000000007</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1.0110000000000001</c:v>
                </c:pt>
                <c:pt idx="1">
                  <c:v>3.7309999999999999</c:v>
                </c:pt>
                <c:pt idx="2">
                  <c:v>0.57800000000000007</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46785"/>
          <a:ext cx="6686550" cy="74389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05741" y="893445"/>
          <a:ext cx="5453380" cy="76543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9180"/>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51905" cy="7717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2815"/>
          <a:ext cx="5400040" cy="77496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72185"/>
          <a:ext cx="5775959" cy="78067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26160"/>
          <a:ext cx="4848859" cy="782581"/>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83605" cy="76797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66071"/>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9620"/>
          <a:ext cx="511302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5300610"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76300"/>
          <a:ext cx="4621530"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5388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200025</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31750" y="869186"/>
          <a:ext cx="6842125" cy="73418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x14ac:dyDescent="0.25"/>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x14ac:dyDescent="0.35">
      <c r="A1" s="8"/>
      <c r="B1" s="8"/>
      <c r="C1" s="8"/>
      <c r="D1" s="8"/>
      <c r="E1" s="8"/>
      <c r="F1" s="8"/>
      <c r="G1" s="8"/>
    </row>
    <row r="2" spans="1:7" ht="16.5" customHeight="1" x14ac:dyDescent="0.25"/>
    <row r="3" spans="1:7" ht="16.5" customHeight="1" x14ac:dyDescent="0.25"/>
    <row r="4" spans="1:7" ht="16.5" customHeight="1" x14ac:dyDescent="0.25"/>
    <row r="5" spans="1:7" ht="16.5" customHeight="1" x14ac:dyDescent="0.25"/>
    <row r="6" spans="1:7" ht="16.5" customHeight="1" x14ac:dyDescent="0.25"/>
    <row r="7" spans="1:7" ht="16.5" customHeight="1" x14ac:dyDescent="0.25"/>
    <row r="8" spans="1:7" ht="16.5" customHeight="1" x14ac:dyDescent="0.25"/>
    <row r="9" spans="1:7" ht="16.5" customHeight="1" x14ac:dyDescent="0.25"/>
    <row r="10" spans="1:7" ht="16.5" customHeight="1" x14ac:dyDescent="0.25"/>
    <row r="11" spans="1:7" ht="16.5" customHeight="1" x14ac:dyDescent="0.25"/>
    <row r="12" spans="1:7" ht="16.5" customHeight="1" x14ac:dyDescent="0.25"/>
    <row r="13" spans="1:7" ht="16.5" customHeight="1" x14ac:dyDescent="0.25"/>
    <row r="14" spans="1:7" ht="16.5" customHeight="1" x14ac:dyDescent="0.25"/>
    <row r="15" spans="1:7" ht="16.5" customHeight="1" x14ac:dyDescent="0.25"/>
    <row r="16" spans="1:7" ht="16.5" customHeight="1" x14ac:dyDescent="0.25"/>
    <row r="17" spans="10:10" ht="16.5" customHeight="1" x14ac:dyDescent="0.25"/>
    <row r="18" spans="10:10" ht="16.5" customHeight="1" x14ac:dyDescent="0.25"/>
    <row r="19" spans="10:10" ht="16.5" customHeight="1" x14ac:dyDescent="0.25"/>
    <row r="20" spans="10:10" ht="16.5" customHeight="1" x14ac:dyDescent="0.25"/>
    <row r="21" spans="10:10" ht="16.5" customHeight="1" x14ac:dyDescent="0.25"/>
    <row r="22" spans="10:10" ht="16.5" customHeight="1" x14ac:dyDescent="0.25"/>
    <row r="23" spans="10:10" ht="16.5" customHeight="1" x14ac:dyDescent="0.25"/>
    <row r="24" spans="10:10" ht="16.5" customHeight="1" x14ac:dyDescent="0.25"/>
    <row r="25" spans="10:10" ht="16.5" customHeight="1" x14ac:dyDescent="0.25">
      <c r="J25" s="10"/>
    </row>
    <row r="26" spans="10:10" ht="16.5" customHeight="1" x14ac:dyDescent="0.25"/>
    <row r="27" spans="10:10" ht="16.5" customHeight="1" x14ac:dyDescent="0.25"/>
    <row r="28" spans="10:10" ht="16.5" customHeight="1" x14ac:dyDescent="0.25"/>
    <row r="29" spans="10:10" ht="16.5" customHeight="1" x14ac:dyDescent="0.25"/>
    <row r="30" spans="10:10" ht="16.5" customHeight="1" x14ac:dyDescent="0.25"/>
    <row r="31" spans="10:10" ht="16.5" customHeight="1" x14ac:dyDescent="0.25"/>
    <row r="32" spans="10:10"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501" ht="16.5" customHeight="1" x14ac:dyDescent="0.25"/>
    <row r="502" ht="16.5" customHeight="1" x14ac:dyDescent="0.25"/>
    <row r="503" ht="16.5" customHeight="1" x14ac:dyDescent="0.25"/>
    <row r="504" ht="16.5" customHeight="1" x14ac:dyDescent="0.25"/>
    <row r="505" ht="16.5" customHeight="1" x14ac:dyDescent="0.25"/>
    <row r="506" ht="16.5" customHeight="1" x14ac:dyDescent="0.25"/>
    <row r="507" ht="16.5" customHeight="1" x14ac:dyDescent="0.25"/>
    <row r="508" ht="16.5" customHeight="1" x14ac:dyDescent="0.25"/>
    <row r="509" ht="16.5" customHeight="1" x14ac:dyDescent="0.25"/>
    <row r="510" ht="16.5" customHeight="1" x14ac:dyDescent="0.25"/>
    <row r="511" ht="16.5" customHeight="1" x14ac:dyDescent="0.25"/>
    <row r="512" ht="16.5" customHeight="1" x14ac:dyDescent="0.25"/>
    <row r="513" ht="16.5" customHeight="1" x14ac:dyDescent="0.25"/>
    <row r="514" ht="16.5" customHeight="1" x14ac:dyDescent="0.25"/>
    <row r="515" ht="16.5" customHeight="1" x14ac:dyDescent="0.25"/>
    <row r="516" ht="16.5" customHeight="1" x14ac:dyDescent="0.25"/>
    <row r="517" ht="16.5" customHeight="1" x14ac:dyDescent="0.25"/>
    <row r="518" ht="16.5" customHeight="1" x14ac:dyDescent="0.25"/>
    <row r="519" ht="16.5" customHeight="1" x14ac:dyDescent="0.25"/>
    <row r="520" ht="16.5" customHeight="1" x14ac:dyDescent="0.25"/>
    <row r="521" ht="16.5"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G1" zoomScaleNormal="100" workbookViewId="0">
      <pane ySplit="10" topLeftCell="A11" activePane="bottomLeft" state="frozen"/>
      <selection activeCell="S28" sqref="S28"/>
      <selection pane="bottomLeft" activeCell="Q11" sqref="Q11"/>
    </sheetView>
  </sheetViews>
  <sheetFormatPr defaultColWidth="0" defaultRowHeight="14.25" zeroHeight="1" x14ac:dyDescent="0.2"/>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 thickBot="1" x14ac:dyDescent="0.25"/>
    <row r="2" spans="1:34" ht="18.75" customHeight="1" thickBot="1" x14ac:dyDescent="0.25">
      <c r="D2" s="896" t="str">
        <f>IF(Start!$F$12="","",Start!$F$12)</f>
        <v>Tyting Farm Mitigation Bank</v>
      </c>
      <c r="E2" s="898"/>
      <c r="P2" s="908" t="str">
        <f>IF(OR(COUNTIF($O$11:O256,"*30+*")&gt;0,COUNTIF($S$11:S256,"*30+*")&gt;0),"Note; Habitat selected has a time to target condition greater than 30 years. Non standard agreement may be required.","")</f>
        <v/>
      </c>
      <c r="Q2" s="908"/>
      <c r="R2" s="908"/>
      <c r="S2" s="908"/>
    </row>
    <row r="3" spans="1:34" ht="24" customHeight="1" thickBot="1" x14ac:dyDescent="0.25">
      <c r="D3" s="893" t="str">
        <f ca="1">MID(CELL("filename",D1),FIND("]",CELL("filename",D1))+1,256)</f>
        <v>A-2 Site Habitat Creation</v>
      </c>
      <c r="E3" s="895"/>
      <c r="O3" s="400"/>
      <c r="P3" s="908"/>
      <c r="Q3" s="908"/>
      <c r="R3" s="908"/>
      <c r="S3" s="908"/>
      <c r="W3" s="907"/>
      <c r="X3" s="907"/>
      <c r="Y3" s="907"/>
      <c r="Z3" s="907"/>
    </row>
    <row r="4" spans="1:34" ht="12.6" customHeight="1" x14ac:dyDescent="0.2">
      <c r="O4" s="400"/>
      <c r="P4" s="400"/>
      <c r="Q4" s="400"/>
      <c r="R4" s="400"/>
      <c r="W4" s="907"/>
      <c r="X4" s="907"/>
      <c r="Y4" s="907"/>
      <c r="Z4" s="907"/>
    </row>
    <row r="5" spans="1:34" ht="15.6" customHeight="1" x14ac:dyDescent="0.25">
      <c r="M5" s="244"/>
      <c r="N5" s="234"/>
      <c r="O5" s="400"/>
      <c r="P5" s="909" t="str">
        <f>IFERROR(IF(OR((G259-'A-1 Site Habitat Baseline'!W261)&gt;0.01,(G259-'A-1 Site Habitat Baseline'!W261)&lt;-0.01),"Check Areas - Area cross check failed (Baseline habitat lost does not match development footprint plus area of new habitat creation)",""),"")</f>
        <v/>
      </c>
      <c r="Q5" s="909"/>
      <c r="R5" s="909"/>
      <c r="S5" s="909"/>
      <c r="W5" s="907"/>
      <c r="X5" s="907"/>
      <c r="Y5" s="907"/>
      <c r="Z5" s="907"/>
    </row>
    <row r="6" spans="1:34" ht="19.149999999999999" customHeight="1" x14ac:dyDescent="0.2">
      <c r="O6" s="400"/>
      <c r="P6" s="909"/>
      <c r="Q6" s="909"/>
      <c r="R6" s="909"/>
      <c r="S6" s="909"/>
      <c r="W6" s="907"/>
      <c r="X6" s="907"/>
      <c r="Y6" s="907"/>
      <c r="Z6" s="907"/>
    </row>
    <row r="7" spans="1:34" ht="39" customHeight="1" thickBot="1" x14ac:dyDescent="0.3">
      <c r="E7" s="50"/>
      <c r="P7" s="401"/>
      <c r="Q7" s="401"/>
      <c r="R7" s="401"/>
      <c r="S7" s="397"/>
      <c r="T7" s="397"/>
      <c r="U7" s="397"/>
      <c r="V7" s="397"/>
      <c r="W7" s="397"/>
    </row>
    <row r="8" spans="1:34" ht="15" thickBot="1" x14ac:dyDescent="0.25">
      <c r="D8" s="917" t="s">
        <v>249</v>
      </c>
      <c r="E8" s="918"/>
      <c r="F8" s="918"/>
      <c r="G8" s="918"/>
      <c r="H8" s="918"/>
      <c r="I8" s="918"/>
      <c r="J8" s="918"/>
      <c r="K8" s="918"/>
      <c r="L8" s="918"/>
      <c r="M8" s="918"/>
      <c r="N8" s="918"/>
      <c r="O8" s="918"/>
      <c r="P8" s="918"/>
      <c r="Q8" s="918"/>
      <c r="R8" s="918"/>
      <c r="S8" s="918"/>
      <c r="T8" s="918"/>
      <c r="U8" s="918"/>
      <c r="V8" s="918"/>
      <c r="W8" s="918"/>
      <c r="X8" s="918"/>
      <c r="Y8" s="918"/>
      <c r="Z8" s="918"/>
      <c r="AA8" s="919"/>
      <c r="AE8" s="910" t="s">
        <v>250</v>
      </c>
    </row>
    <row r="9" spans="1:34" s="49" customFormat="1" ht="15" customHeight="1" thickBot="1" x14ac:dyDescent="0.25">
      <c r="B9" s="47"/>
      <c r="D9" s="915" t="s">
        <v>208</v>
      </c>
      <c r="E9" s="911" t="s">
        <v>251</v>
      </c>
      <c r="F9" s="911" t="s">
        <v>251</v>
      </c>
      <c r="G9" s="913" t="s">
        <v>211</v>
      </c>
      <c r="H9" s="902" t="s">
        <v>195</v>
      </c>
      <c r="I9" s="903"/>
      <c r="J9" s="902" t="s">
        <v>196</v>
      </c>
      <c r="K9" s="903"/>
      <c r="L9" s="902" t="s">
        <v>197</v>
      </c>
      <c r="M9" s="904"/>
      <c r="N9" s="903"/>
      <c r="O9" s="902" t="s">
        <v>252</v>
      </c>
      <c r="P9" s="904"/>
      <c r="Q9" s="904"/>
      <c r="R9" s="904"/>
      <c r="S9" s="904"/>
      <c r="T9" s="903"/>
      <c r="U9" s="899" t="s">
        <v>253</v>
      </c>
      <c r="V9" s="900"/>
      <c r="W9" s="900"/>
      <c r="X9" s="901"/>
      <c r="Y9" s="905" t="s">
        <v>254</v>
      </c>
      <c r="Z9" s="902" t="s">
        <v>202</v>
      </c>
      <c r="AA9" s="903"/>
      <c r="AB9" s="47"/>
      <c r="AC9" s="47"/>
      <c r="AD9" s="47"/>
      <c r="AE9" s="910"/>
      <c r="AF9" s="47"/>
      <c r="AG9" s="47"/>
      <c r="AH9" s="47"/>
    </row>
    <row r="10" spans="1:34" ht="57" x14ac:dyDescent="0.2">
      <c r="A10" s="55" t="s">
        <v>206</v>
      </c>
      <c r="D10" s="916"/>
      <c r="E10" s="912"/>
      <c r="F10" s="912"/>
      <c r="G10" s="914"/>
      <c r="H10" s="379" t="s">
        <v>195</v>
      </c>
      <c r="I10" s="380" t="s">
        <v>212</v>
      </c>
      <c r="J10" s="632" t="s">
        <v>196</v>
      </c>
      <c r="K10" s="381" t="s">
        <v>212</v>
      </c>
      <c r="L10" s="363" t="s">
        <v>197</v>
      </c>
      <c r="M10" s="77" t="s">
        <v>197</v>
      </c>
      <c r="N10" s="365" t="s">
        <v>255</v>
      </c>
      <c r="O10" s="363" t="s">
        <v>256</v>
      </c>
      <c r="P10" s="77" t="s">
        <v>257</v>
      </c>
      <c r="Q10" s="77" t="s">
        <v>258</v>
      </c>
      <c r="R10" s="77" t="s">
        <v>259</v>
      </c>
      <c r="S10" s="77" t="s">
        <v>260</v>
      </c>
      <c r="T10" s="365" t="s">
        <v>261</v>
      </c>
      <c r="U10" s="362" t="s">
        <v>262</v>
      </c>
      <c r="V10" s="366" t="s">
        <v>263</v>
      </c>
      <c r="W10" s="366" t="s">
        <v>264</v>
      </c>
      <c r="X10" s="364" t="s">
        <v>265</v>
      </c>
      <c r="Y10" s="920"/>
      <c r="Z10" s="363" t="s">
        <v>221</v>
      </c>
      <c r="AA10" s="365" t="s">
        <v>222</v>
      </c>
      <c r="AE10" s="47" t="s">
        <v>233</v>
      </c>
    </row>
    <row r="11" spans="1:34" ht="42.75" x14ac:dyDescent="0.2">
      <c r="A11" s="47" t="str">
        <f>IFERROR(INDEX('G-8 Condition Look up'!$I$4:$I$130,MATCH(F11,'G-8 Condition Look up'!$A$4:$A$130,0)),"")</f>
        <v>Cond4</v>
      </c>
      <c r="C11" s="382" t="str">
        <f>IFERROR(INDEX('G-1 All Habitats'!$AG$3:$AG$15,MATCH(D11,'G-1 All Habitats'!$AF$3:$AF$15,0)),"")</f>
        <v>Grassland</v>
      </c>
      <c r="D11" s="71" t="s">
        <v>76</v>
      </c>
      <c r="E11" s="82" t="s">
        <v>266</v>
      </c>
      <c r="F11" s="378" t="str">
        <f>IFERROR(INDEX('G-1 All Habitats'!$B$3:$B$129,MATCH(E11,'G-1 All Habitats'!$A$3:$A$129,0)),"")</f>
        <v>Grassland - Traditional orchards</v>
      </c>
      <c r="G11" s="70">
        <v>0.74680000000000002</v>
      </c>
      <c r="H11" s="497" t="str">
        <f>IF(F11="","",VLOOKUP(F11,'G-1 All Habitats'!$B$2:$M$129,10,FALSE))</f>
        <v>High</v>
      </c>
      <c r="I11" s="498">
        <f>IFERROR(VLOOKUP(H11,'G-1 All Habitats'!$V$3:$W$7,2,FALSE),"")</f>
        <v>6</v>
      </c>
      <c r="J11" s="71" t="s">
        <v>27</v>
      </c>
      <c r="K11" s="498">
        <f>IFERROR(INDEX('G-8 Condition Look up'!$A$3:$H$130,MATCH(F11,'G-8 Condition Look up'!$A$3:$A$130,0),MATCH(J11,'G-8 Condition Look up'!$A$3:$H$3,0)),"")</f>
        <v>3</v>
      </c>
      <c r="L11" s="71" t="s">
        <v>231</v>
      </c>
      <c r="M11" s="519" t="str">
        <f>IF(L11="","",IF(VLOOKUP(L11,'G-3 Multipliers'!$L$3:$N$6,2,FALSE)=0,"Spatial Data Missing",VLOOKUP(L11,'G-3 Multipliers'!$L$3:$N$6,2,FALSE)))</f>
        <v xml:space="preserve">High strategic significance </v>
      </c>
      <c r="N11" s="504">
        <f>IF(L11="","",IF(VLOOKUP(L11,'G-3 Multipliers'!$L$3:$N$6,3,FALSE)=0,"Spatial Data Missing",VLOOKUP(L11,'G-3 Multipliers'!$L$3:$N$6,3,FALSE)))</f>
        <v>1.1499999999999999</v>
      </c>
      <c r="O11" s="497">
        <f t="shared" ref="O11:O74" si="0">IFERROR(INDEX(TemporalData,MATCH(F11,TemporalHabitats,0),MATCH(J11,TemporalConditions,0)),"")</f>
        <v>30</v>
      </c>
      <c r="P11" s="82">
        <v>0</v>
      </c>
      <c r="Q11" s="82">
        <v>0</v>
      </c>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30</v>
      </c>
      <c r="T11" s="521">
        <f>IFERROR(IF(S11="Check Data ⚠","Check Data ⚠",VLOOKUP(S11,'G-4 Temporal multipliers'!$A$4:$C$37,3,FALSE)),"")</f>
        <v>0.3434151104</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Low</v>
      </c>
      <c r="X11" s="523">
        <f>IFERROR(IF(E11="","",VLOOKUP(W11, 'G-3 Multipliers'!$P$2:$Q$6,2,FALSE)),"")</f>
        <v>1</v>
      </c>
      <c r="Y11" s="528">
        <f>IFERROR(G11*I11*K11*N11*T11*X11,"")</f>
        <v>5.3087717720471037</v>
      </c>
      <c r="Z11" s="238"/>
      <c r="AA11" s="239"/>
      <c r="AE11" s="54">
        <f t="shared" ref="AE11:AE74" si="1">IFERROR(INDEX(TemporalData,MATCH(F11,TemporalHabitats,0),MATCH($AE$10,TemporalConditions,0)),"")</f>
        <v>5</v>
      </c>
    </row>
    <row r="12" spans="1:34" x14ac:dyDescent="0.2">
      <c r="A12" s="47" t="str">
        <f>IFERROR(INDEX('G-8 Condition Look up'!$I$4:$I$130,MATCH(F12,'G-8 Condition Look up'!$A$4:$A$130,0)),"")</f>
        <v/>
      </c>
      <c r="C12" s="383" t="str">
        <f>IFERROR(INDEX('G-1 All Habitats'!$AG$3:$AG$15,MATCH(D12,'G-1 All Habitats'!$AF$3:$AF$15,0)),"")</f>
        <v/>
      </c>
      <c r="D12" s="146"/>
      <c r="E12" s="79"/>
      <c r="F12" s="245" t="str">
        <f>IFERROR(INDEX('G-1 All Habitats'!$B$3:$B$129,MATCH(E12,'G-1 All Habitats'!$A$3:$A$129,0)),"")</f>
        <v/>
      </c>
      <c r="G12" s="70"/>
      <c r="H12" s="497" t="str">
        <f>IF(F12="","",VLOOKUP(F12,'G-1 All Habitats'!$B$2:$M$129,10,FALSE))</f>
        <v/>
      </c>
      <c r="I12" s="498" t="str">
        <f>IFERROR(VLOOKUP(H12,'G-1 All Habitats'!$V$3:$W$7,2,FALSE),"")</f>
        <v/>
      </c>
      <c r="J12" s="71"/>
      <c r="K12" s="498" t="str">
        <f>IFERROR(INDEX('G-8 Condition Look up'!$A$3:$H$130,MATCH(F12,'G-8 Condition Look up'!$A$3:$A$130,0),MATCH(J12,'G-8 Condition Look up'!$A$3:$H$3,0)),"")</f>
        <v/>
      </c>
      <c r="L12" s="71"/>
      <c r="M12" s="506" t="str">
        <f>IF(L12="","",IF(VLOOKUP(L12,'G-3 Multipliers'!$L$3:$N$6,2,FALSE)=0,"Spatial Data Missing",VLOOKUP(L12,'G-3 Multipliers'!$L$3:$N$6,2,FALSE)))</f>
        <v/>
      </c>
      <c r="N12" s="504" t="str">
        <f>IF(L12="","",IF(VLOOKUP(L12,'G-3 Multipliers'!$L$3:$N$6,3,FALSE)=0,"Spatial Data Missing",VLOOKUP(L12,'G-3 Multipliers'!$L$3:$N$6,3,FALSE)))</f>
        <v/>
      </c>
      <c r="O12" s="497" t="str">
        <f t="shared" si="0"/>
        <v/>
      </c>
      <c r="P12" s="82"/>
      <c r="Q12" s="82"/>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20" t="str">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
      </c>
      <c r="T12" s="521" t="str">
        <f>IFERROR(IF(S12="Check Data ⚠","Check Data ⚠",VLOOKUP(S12,'G-4 Temporal multipliers'!$A$4:$C$37,3,FALSE)),"")</f>
        <v/>
      </c>
      <c r="U12" s="522" t="str">
        <f>IF(F12="","",VLOOKUP(F12,'G-3 Multipliers'!$A$2:$E$129,2,FALSE))</f>
        <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losses",P12&gt;=O12),"Low",VLOOKUP(F12,'G-3 Multipliers'!$A$2:$E$129,4,FALSE))))</f>
        <v/>
      </c>
      <c r="X12" s="523" t="str">
        <f>IFERROR(IF(E12="","",VLOOKUP(W12, 'G-3 Multipliers'!$P$2:$Q$6,2,FALSE)),"")</f>
        <v/>
      </c>
      <c r="Y12" s="528" t="str">
        <f t="shared" ref="Y12:Y75" si="5">IFERROR(G12*I12*K12*N12*T12*X12,"")</f>
        <v/>
      </c>
      <c r="Z12" s="238"/>
      <c r="AA12" s="239"/>
      <c r="AE12" s="54" t="str">
        <f t="shared" si="1"/>
        <v/>
      </c>
    </row>
    <row r="13" spans="1:34" x14ac:dyDescent="0.2">
      <c r="A13" s="47" t="str">
        <f>IFERROR(INDEX('G-8 Condition Look up'!$I$4:$I$130,MATCH(F13,'G-8 Condition Look up'!$A$4:$A$130,0)),"")</f>
        <v/>
      </c>
      <c r="C13" s="383" t="str">
        <f>IFERROR(INDEX('G-1 All Habitats'!$AG$3:$AG$15,MATCH(D13,'G-1 All Habitats'!$AF$3:$AF$15,0)),"")</f>
        <v/>
      </c>
      <c r="D13" s="146"/>
      <c r="E13" s="79"/>
      <c r="F13" s="245" t="str">
        <f>IFERROR(INDEX('G-1 All Habitats'!$B$3:$B$129,MATCH(E13,'G-1 All Habitats'!$A$3:$A$129,0)),"")</f>
        <v/>
      </c>
      <c r="G13" s="70"/>
      <c r="H13" s="497" t="str">
        <f>IF(F13="","",VLOOKUP(F13,'G-1 All Habitats'!$B$2:$M$129,10,FALSE))</f>
        <v/>
      </c>
      <c r="I13" s="498" t="str">
        <f>IFERROR(VLOOKUP(H13,'G-1 All Habitats'!$V$3:$W$7,2,FALSE),"")</f>
        <v/>
      </c>
      <c r="J13" s="71"/>
      <c r="K13" s="498" t="str">
        <f>IFERROR(INDEX('G-8 Condition Look up'!$A$3:$H$130,MATCH(F13,'G-8 Condition Look up'!$A$3:$A$130,0),MATCH(J13,'G-8 Condition Look up'!$A$3:$H$3,0)),"")</f>
        <v/>
      </c>
      <c r="L13" s="71"/>
      <c r="M13" s="506" t="str">
        <f>IF(L13="","",IF(VLOOKUP(L13,'G-3 Multipliers'!$L$3:$N$6,2,FALSE)=0,"Spatial Data Missing",VLOOKUP(L13,'G-3 Multipliers'!$L$3:$N$6,2,FALSE)))</f>
        <v/>
      </c>
      <c r="N13" s="504" t="str">
        <f>IF(L13="","",IF(VLOOKUP(L13,'G-3 Multipliers'!$L$3:$N$6,3,FALSE)=0,"Spatial Data Missing",VLOOKUP(L13,'G-3 Multipliers'!$L$3:$N$6,3,FALSE)))</f>
        <v/>
      </c>
      <c r="O13" s="497" t="str">
        <f t="shared" si="0"/>
        <v/>
      </c>
      <c r="P13" s="82"/>
      <c r="Q13" s="82"/>
      <c r="R13" s="506" t="str">
        <f t="shared" si="2"/>
        <v/>
      </c>
      <c r="S13" s="520" t="str">
        <f t="shared" si="3"/>
        <v/>
      </c>
      <c r="T13" s="521" t="str">
        <f>IFERROR(IF(S13="Check Data ⚠","Check Data ⚠",VLOOKUP(S13,'G-4 Temporal multipliers'!$A$4:$C$37,3,FALSE)),"")</f>
        <v/>
      </c>
      <c r="U13" s="522" t="str">
        <f>IF(F13="","",VLOOKUP(F13,'G-3 Multipliers'!$A$2:$E$129,2,FALSE))</f>
        <v/>
      </c>
      <c r="V13" s="519" t="str">
        <f t="shared" si="4"/>
        <v/>
      </c>
      <c r="W13" s="519" t="str">
        <f>IF(E13="","",IF(AND(V13="Standard difficulty applied",O13&gt;P13),U13,IF(AND(V13="Low Difficulty - only applicable if all habitat created before losses",P13&gt;=O13),"Low",VLOOKUP(F13,'G-3 Multipliers'!$A$2:$E$129,4,FALSE))))</f>
        <v/>
      </c>
      <c r="X13" s="523" t="str">
        <f>IFERROR(IF(E13="","",VLOOKUP(W13, 'G-3 Multipliers'!$P$2:$Q$6,2,FALSE)),"")</f>
        <v/>
      </c>
      <c r="Y13" s="528" t="str">
        <f t="shared" si="5"/>
        <v/>
      </c>
      <c r="Z13" s="238"/>
      <c r="AA13" s="239"/>
      <c r="AE13" s="54" t="str">
        <f t="shared" si="1"/>
        <v/>
      </c>
    </row>
    <row r="14" spans="1:34" x14ac:dyDescent="0.2">
      <c r="A14" s="47" t="str">
        <f>IFERROR(INDEX('G-8 Condition Look up'!$I$4:$I$130,MATCH(F14,'G-8 Condition Look up'!$A$4:$A$130,0)),"")</f>
        <v/>
      </c>
      <c r="C14" s="383" t="str">
        <f>IFERROR(INDEX('G-1 All Habitats'!$AG$3:$AG$15,MATCH(D14,'G-1 All Habitats'!$AF$3:$AF$15,0)),"")</f>
        <v/>
      </c>
      <c r="D14" s="146"/>
      <c r="E14" s="79"/>
      <c r="F14" s="245" t="str">
        <f>IFERROR(INDEX('G-1 All Habitats'!$B$3:$B$129,MATCH(E14,'G-1 All Habitats'!$A$3:$A$129,0)),"")</f>
        <v/>
      </c>
      <c r="G14" s="70"/>
      <c r="H14" s="497" t="str">
        <f>IF(F14="","",VLOOKUP(F14,'G-1 All Habitats'!$B$2:$M$129,10,FALSE))</f>
        <v/>
      </c>
      <c r="I14" s="498" t="str">
        <f>IFERROR(VLOOKUP(H14,'G-1 All Habitats'!$V$3:$W$7,2,FALSE),"")</f>
        <v/>
      </c>
      <c r="J14" s="71"/>
      <c r="K14" s="498" t="str">
        <f>IFERROR(INDEX('G-8 Condition Look up'!$A$3:$H$130,MATCH(F14,'G-8 Condition Look up'!$A$3:$A$130,0),MATCH(J14,'G-8 Condition Look up'!$A$3:$H$3,0)),"")</f>
        <v/>
      </c>
      <c r="L14" s="71"/>
      <c r="M14" s="506" t="str">
        <f>IF(L14="","",IF(VLOOKUP(L14,'G-3 Multipliers'!$L$3:$N$6,2,FALSE)=0,"Spatial Data Missing",VLOOKUP(L14,'G-3 Multipliers'!$L$3:$N$6,2,FALSE)))</f>
        <v/>
      </c>
      <c r="N14" s="504" t="str">
        <f>IF(L14="","",IF(VLOOKUP(L14,'G-3 Multipliers'!$L$3:$N$6,3,FALSE)=0,"Spatial Data Missing",VLOOKUP(L14,'G-3 Multipliers'!$L$3:$N$6,3,FALSE)))</f>
        <v/>
      </c>
      <c r="O14" s="497" t="str">
        <f t="shared" si="0"/>
        <v/>
      </c>
      <c r="P14" s="82"/>
      <c r="Q14" s="82"/>
      <c r="R14" s="506" t="str">
        <f t="shared" si="2"/>
        <v/>
      </c>
      <c r="S14" s="520" t="str">
        <f t="shared" si="3"/>
        <v/>
      </c>
      <c r="T14" s="521"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losses",P14&gt;=O14),"Low",VLOOKUP(F14,'G-3 Multipliers'!$A$2:$E$129,4,FALSE))))</f>
        <v/>
      </c>
      <c r="X14" s="523" t="str">
        <f>IFERROR(IF(E14="","",VLOOKUP(W14, 'G-3 Multipliers'!$P$2:$Q$6,2,FALSE)),"")</f>
        <v/>
      </c>
      <c r="Y14" s="528" t="str">
        <f t="shared" si="5"/>
        <v/>
      </c>
      <c r="Z14" s="238"/>
      <c r="AA14" s="239"/>
      <c r="AE14" s="54" t="str">
        <f t="shared" si="1"/>
        <v/>
      </c>
    </row>
    <row r="15" spans="1:34" x14ac:dyDescent="0.2">
      <c r="A15" s="47" t="str">
        <f>IFERROR(INDEX('G-8 Condition Look up'!$I$4:$I$130,MATCH(F15,'G-8 Condition Look up'!$A$4:$A$130,0)),"")</f>
        <v/>
      </c>
      <c r="C15" s="383" t="str">
        <f>IFERROR(INDEX('G-1 All Habitats'!$AG$3:$AG$15,MATCH(D15,'G-1 All Habitats'!$AF$3:$AF$15,0)),"")</f>
        <v/>
      </c>
      <c r="D15" s="146"/>
      <c r="E15" s="79"/>
      <c r="F15" s="245" t="str">
        <f>IFERROR(INDEX('G-1 All Habitats'!$B$3:$B$129,MATCH(E15,'G-1 All Habitats'!$A$3:$A$129,0)),"")</f>
        <v/>
      </c>
      <c r="G15" s="70"/>
      <c r="H15" s="497" t="str">
        <f>IF(F15="","",VLOOKUP(F15,'G-1 All Habitats'!$B$2:$M$129,10,FALSE))</f>
        <v/>
      </c>
      <c r="I15" s="498" t="str">
        <f>IFERROR(VLOOKUP(H15,'G-1 All Habitats'!$V$3:$W$7,2,FALSE),"")</f>
        <v/>
      </c>
      <c r="J15" s="71"/>
      <c r="K15" s="498" t="str">
        <f>IFERROR(INDEX('G-8 Condition Look up'!$A$3:$H$130,MATCH(F15,'G-8 Condition Look up'!$A$3:$A$130,0),MATCH(J15,'G-8 Condition Look up'!$A$3:$H$3,0)),"")</f>
        <v/>
      </c>
      <c r="L15" s="71"/>
      <c r="M15" s="506" t="str">
        <f>IF(L15="","",IF(VLOOKUP(L15,'G-3 Multipliers'!$L$3:$N$6,2,FALSE)=0,"Spatial Data Missing",VLOOKUP(L15,'G-3 Multipliers'!$L$3:$N$6,2,FALSE)))</f>
        <v/>
      </c>
      <c r="N15" s="504" t="str">
        <f>IF(L15="","",IF(VLOOKUP(L15,'G-3 Multipliers'!$L$3:$N$6,3,FALSE)=0,"Spatial Data Missing",VLOOKUP(L15,'G-3 Multipliers'!$L$3:$N$6,3,FALSE)))</f>
        <v/>
      </c>
      <c r="O15" s="497" t="str">
        <f t="shared" si="0"/>
        <v/>
      </c>
      <c r="P15" s="82"/>
      <c r="Q15" s="82"/>
      <c r="R15" s="506" t="str">
        <f t="shared" si="2"/>
        <v/>
      </c>
      <c r="S15" s="520" t="str">
        <f t="shared" si="3"/>
        <v/>
      </c>
      <c r="T15" s="521"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losses",P15&gt;=O15),"Low",VLOOKUP(F15,'G-3 Multipliers'!$A$2:$E$129,4,FALSE))))</f>
        <v/>
      </c>
      <c r="X15" s="523" t="str">
        <f>IFERROR(IF(E15="","",VLOOKUP(W15, 'G-3 Multipliers'!$P$2:$Q$6,2,FALSE)),"")</f>
        <v/>
      </c>
      <c r="Y15" s="528" t="str">
        <f t="shared" si="5"/>
        <v/>
      </c>
      <c r="Z15" s="238"/>
      <c r="AA15" s="239"/>
      <c r="AE15" s="54" t="str">
        <f t="shared" si="1"/>
        <v/>
      </c>
    </row>
    <row r="16" spans="1:34" x14ac:dyDescent="0.2">
      <c r="A16" s="47" t="str">
        <f>IFERROR(INDEX('G-8 Condition Look up'!$I$4:$I$130,MATCH(F16,'G-8 Condition Look up'!$A$4:$A$130,0)),"")</f>
        <v/>
      </c>
      <c r="C16" s="383" t="str">
        <f>IFERROR(INDEX('G-1 All Habitats'!$AG$3:$AG$15,MATCH(D16,'G-1 All Habitats'!$AF$3:$AF$15,0)),"")</f>
        <v/>
      </c>
      <c r="D16" s="146"/>
      <c r="E16" s="79"/>
      <c r="F16" s="245" t="str">
        <f>IFERROR(INDEX('G-1 All Habitats'!$B$3:$B$129,MATCH(E16,'G-1 All Habitats'!$A$3:$A$129,0)),"")</f>
        <v/>
      </c>
      <c r="G16" s="70"/>
      <c r="H16" s="497" t="str">
        <f>IF(F16="","",VLOOKUP(F16,'G-1 All Habitats'!$B$2:$M$129,10,FALSE))</f>
        <v/>
      </c>
      <c r="I16" s="498" t="str">
        <f>IFERROR(VLOOKUP(H16,'G-1 All Habitats'!$V$3:$W$7,2,FALSE),"")</f>
        <v/>
      </c>
      <c r="J16" s="71"/>
      <c r="K16" s="498" t="str">
        <f>IFERROR(INDEX('G-8 Condition Look up'!$A$3:$H$130,MATCH(F16,'G-8 Condition Look up'!$A$3:$A$130,0),MATCH(J16,'G-8 Condition Look up'!$A$3:$H$3,0)),"")</f>
        <v/>
      </c>
      <c r="L16" s="71"/>
      <c r="M16" s="506" t="str">
        <f>IF(L16="","",IF(VLOOKUP(L16,'G-3 Multipliers'!$L$3:$N$6,2,FALSE)=0,"Spatial Data Missing",VLOOKUP(L16,'G-3 Multipliers'!$L$3:$N$6,2,FALSE)))</f>
        <v/>
      </c>
      <c r="N16" s="504" t="str">
        <f>IF(L16="","",IF(VLOOKUP(L16,'G-3 Multipliers'!$L$3:$N$6,3,FALSE)=0,"Spatial Data Missing",VLOOKUP(L16,'G-3 Multipliers'!$L$3:$N$6,3,FALSE)))</f>
        <v/>
      </c>
      <c r="O16" s="497" t="str">
        <f t="shared" si="0"/>
        <v/>
      </c>
      <c r="P16" s="82"/>
      <c r="Q16" s="82"/>
      <c r="R16" s="506" t="str">
        <f t="shared" si="2"/>
        <v/>
      </c>
      <c r="S16" s="520" t="str">
        <f t="shared" si="3"/>
        <v/>
      </c>
      <c r="T16" s="521"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losses",P16&gt;=O16),"Low",VLOOKUP(F16,'G-3 Multipliers'!$A$2:$E$129,4,FALSE))))</f>
        <v/>
      </c>
      <c r="X16" s="523" t="str">
        <f>IFERROR(IF(E16="","",VLOOKUP(W16, 'G-3 Multipliers'!$P$2:$Q$6,2,FALSE)),"")</f>
        <v/>
      </c>
      <c r="Y16" s="528" t="str">
        <f t="shared" si="5"/>
        <v/>
      </c>
      <c r="Z16" s="238"/>
      <c r="AA16" s="239"/>
      <c r="AE16" s="54" t="str">
        <f t="shared" si="1"/>
        <v/>
      </c>
    </row>
    <row r="17" spans="1:31" x14ac:dyDescent="0.2">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x14ac:dyDescent="0.2">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x14ac:dyDescent="0.2">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x14ac:dyDescent="0.2">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x14ac:dyDescent="0.2">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x14ac:dyDescent="0.2">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x14ac:dyDescent="0.2">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x14ac:dyDescent="0.2">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x14ac:dyDescent="0.2">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x14ac:dyDescent="0.2">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x14ac:dyDescent="0.2">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x14ac:dyDescent="0.2">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x14ac:dyDescent="0.2">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x14ac:dyDescent="0.2">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x14ac:dyDescent="0.2">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x14ac:dyDescent="0.2">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x14ac:dyDescent="0.2">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x14ac:dyDescent="0.2">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x14ac:dyDescent="0.2">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x14ac:dyDescent="0.2">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x14ac:dyDescent="0.2">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x14ac:dyDescent="0.2">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x14ac:dyDescent="0.2">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x14ac:dyDescent="0.2">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x14ac:dyDescent="0.2">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x14ac:dyDescent="0.2">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x14ac:dyDescent="0.2">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x14ac:dyDescent="0.2">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x14ac:dyDescent="0.2">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x14ac:dyDescent="0.2">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x14ac:dyDescent="0.2">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x14ac:dyDescent="0.2">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x14ac:dyDescent="0.2">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x14ac:dyDescent="0.2">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x14ac:dyDescent="0.2">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x14ac:dyDescent="0.2">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x14ac:dyDescent="0.2">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x14ac:dyDescent="0.2">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x14ac:dyDescent="0.2">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x14ac:dyDescent="0.2">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x14ac:dyDescent="0.2">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x14ac:dyDescent="0.2">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x14ac:dyDescent="0.2">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x14ac:dyDescent="0.2">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x14ac:dyDescent="0.2">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x14ac:dyDescent="0.2">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x14ac:dyDescent="0.2">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x14ac:dyDescent="0.2">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x14ac:dyDescent="0.2">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x14ac:dyDescent="0.2">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x14ac:dyDescent="0.2">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x14ac:dyDescent="0.2">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x14ac:dyDescent="0.2">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x14ac:dyDescent="0.2">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x14ac:dyDescent="0.2">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x14ac:dyDescent="0.2">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x14ac:dyDescent="0.2">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x14ac:dyDescent="0.2">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x14ac:dyDescent="0.2">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x14ac:dyDescent="0.2">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x14ac:dyDescent="0.2">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x14ac:dyDescent="0.2">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x14ac:dyDescent="0.2">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x14ac:dyDescent="0.2">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x14ac:dyDescent="0.2">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x14ac:dyDescent="0.2">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x14ac:dyDescent="0.2">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x14ac:dyDescent="0.2">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x14ac:dyDescent="0.2">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x14ac:dyDescent="0.2">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x14ac:dyDescent="0.2">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x14ac:dyDescent="0.2">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x14ac:dyDescent="0.2">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x14ac:dyDescent="0.2">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x14ac:dyDescent="0.2">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x14ac:dyDescent="0.2">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x14ac:dyDescent="0.2">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x14ac:dyDescent="0.2">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x14ac:dyDescent="0.2">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x14ac:dyDescent="0.2">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x14ac:dyDescent="0.2">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x14ac:dyDescent="0.2">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x14ac:dyDescent="0.2">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x14ac:dyDescent="0.2">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x14ac:dyDescent="0.2">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x14ac:dyDescent="0.2">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x14ac:dyDescent="0.2">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x14ac:dyDescent="0.2">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x14ac:dyDescent="0.2">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x14ac:dyDescent="0.2">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x14ac:dyDescent="0.2">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x14ac:dyDescent="0.2">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x14ac:dyDescent="0.2">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x14ac:dyDescent="0.2">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x14ac:dyDescent="0.2">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x14ac:dyDescent="0.2">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x14ac:dyDescent="0.2">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x14ac:dyDescent="0.2">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x14ac:dyDescent="0.2">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x14ac:dyDescent="0.2">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x14ac:dyDescent="0.2">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x14ac:dyDescent="0.2">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x14ac:dyDescent="0.2">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x14ac:dyDescent="0.2">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x14ac:dyDescent="0.2">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x14ac:dyDescent="0.2">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x14ac:dyDescent="0.2">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x14ac:dyDescent="0.2">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x14ac:dyDescent="0.2">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x14ac:dyDescent="0.2">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x14ac:dyDescent="0.2">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x14ac:dyDescent="0.2">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x14ac:dyDescent="0.2">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x14ac:dyDescent="0.2">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x14ac:dyDescent="0.2">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x14ac:dyDescent="0.2">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x14ac:dyDescent="0.2">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x14ac:dyDescent="0.2">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x14ac:dyDescent="0.2">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x14ac:dyDescent="0.2">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x14ac:dyDescent="0.2">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x14ac:dyDescent="0.2">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x14ac:dyDescent="0.2">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x14ac:dyDescent="0.2">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x14ac:dyDescent="0.2">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x14ac:dyDescent="0.2">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x14ac:dyDescent="0.2">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x14ac:dyDescent="0.2">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x14ac:dyDescent="0.2">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x14ac:dyDescent="0.2">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x14ac:dyDescent="0.2">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x14ac:dyDescent="0.2">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x14ac:dyDescent="0.2">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x14ac:dyDescent="0.2">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x14ac:dyDescent="0.2">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x14ac:dyDescent="0.2">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x14ac:dyDescent="0.2">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x14ac:dyDescent="0.2">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x14ac:dyDescent="0.2">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x14ac:dyDescent="0.2">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x14ac:dyDescent="0.2">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x14ac:dyDescent="0.2">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x14ac:dyDescent="0.2">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x14ac:dyDescent="0.2">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x14ac:dyDescent="0.2">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x14ac:dyDescent="0.2">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x14ac:dyDescent="0.2">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x14ac:dyDescent="0.2">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x14ac:dyDescent="0.2">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x14ac:dyDescent="0.2">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x14ac:dyDescent="0.2">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x14ac:dyDescent="0.2">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x14ac:dyDescent="0.2">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x14ac:dyDescent="0.2">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x14ac:dyDescent="0.2">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x14ac:dyDescent="0.2">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x14ac:dyDescent="0.2">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x14ac:dyDescent="0.2">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x14ac:dyDescent="0.2">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x14ac:dyDescent="0.2">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x14ac:dyDescent="0.2">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x14ac:dyDescent="0.2">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x14ac:dyDescent="0.2">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x14ac:dyDescent="0.2">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x14ac:dyDescent="0.2">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x14ac:dyDescent="0.2">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x14ac:dyDescent="0.2">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x14ac:dyDescent="0.2">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x14ac:dyDescent="0.2">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x14ac:dyDescent="0.2">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x14ac:dyDescent="0.2">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x14ac:dyDescent="0.2">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x14ac:dyDescent="0.2">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x14ac:dyDescent="0.2">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x14ac:dyDescent="0.2">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x14ac:dyDescent="0.2">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x14ac:dyDescent="0.2">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x14ac:dyDescent="0.2">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x14ac:dyDescent="0.2">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x14ac:dyDescent="0.2">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x14ac:dyDescent="0.2">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x14ac:dyDescent="0.2">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x14ac:dyDescent="0.2">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x14ac:dyDescent="0.2">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x14ac:dyDescent="0.2">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x14ac:dyDescent="0.2">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x14ac:dyDescent="0.2">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x14ac:dyDescent="0.2">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x14ac:dyDescent="0.2">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x14ac:dyDescent="0.2">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x14ac:dyDescent="0.2">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x14ac:dyDescent="0.2">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x14ac:dyDescent="0.2">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x14ac:dyDescent="0.2">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x14ac:dyDescent="0.2">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x14ac:dyDescent="0.2">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x14ac:dyDescent="0.2">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x14ac:dyDescent="0.2">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x14ac:dyDescent="0.2">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x14ac:dyDescent="0.2">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x14ac:dyDescent="0.2">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x14ac:dyDescent="0.2">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x14ac:dyDescent="0.2">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x14ac:dyDescent="0.2">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x14ac:dyDescent="0.2">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x14ac:dyDescent="0.2">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x14ac:dyDescent="0.2">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x14ac:dyDescent="0.2">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x14ac:dyDescent="0.2">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x14ac:dyDescent="0.2">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x14ac:dyDescent="0.2">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x14ac:dyDescent="0.2">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x14ac:dyDescent="0.2">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x14ac:dyDescent="0.2">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x14ac:dyDescent="0.2">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x14ac:dyDescent="0.2">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x14ac:dyDescent="0.2">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x14ac:dyDescent="0.2">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x14ac:dyDescent="0.2">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x14ac:dyDescent="0.2">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x14ac:dyDescent="0.2">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x14ac:dyDescent="0.2">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x14ac:dyDescent="0.2">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x14ac:dyDescent="0.2">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x14ac:dyDescent="0.2">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x14ac:dyDescent="0.2">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x14ac:dyDescent="0.2">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x14ac:dyDescent="0.2">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x14ac:dyDescent="0.2">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x14ac:dyDescent="0.2">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x14ac:dyDescent="0.2">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x14ac:dyDescent="0.2">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x14ac:dyDescent="0.2">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x14ac:dyDescent="0.2">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x14ac:dyDescent="0.2">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x14ac:dyDescent="0.2">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x14ac:dyDescent="0.2">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x14ac:dyDescent="0.2">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x14ac:dyDescent="0.2">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5" thickBot="1" x14ac:dyDescent="0.25">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5" thickBot="1" x14ac:dyDescent="0.25">
      <c r="E257" s="178" t="s">
        <v>267</v>
      </c>
      <c r="F257" s="339" t="s">
        <v>268</v>
      </c>
      <c r="G257" s="518">
        <f>SUM(G11:G256)</f>
        <v>0.74680000000000002</v>
      </c>
      <c r="T257" s="86"/>
      <c r="U257" s="86"/>
      <c r="V257" s="86"/>
      <c r="W257" s="86"/>
      <c r="X257" s="173" t="s">
        <v>269</v>
      </c>
      <c r="Y257" s="518">
        <f>SUM(Y11:Y256)</f>
        <v>5.3087717720471037</v>
      </c>
    </row>
    <row r="258" spans="5:25" ht="15" thickBot="1" x14ac:dyDescent="0.25">
      <c r="E258" s="47"/>
    </row>
    <row r="259" spans="5:25" ht="15" thickBot="1" x14ac:dyDescent="0.25">
      <c r="E259" s="501" t="s">
        <v>270</v>
      </c>
      <c r="G259" s="518">
        <f>IF('Detailed Results'!$K$40&gt;0,"Error",SUMIFS($G$11:$G$256,$F$11:$F$256,"&lt;&gt;"&amp;'G-1 All Habitats'!B73,$F$11:$F$256,"&lt;&gt;"&amp;'G-1 All Habitats'!B65,$F$11:$F$256,"&lt;&gt;"&amp;'G-1 All Habitats'!B66))</f>
        <v>0.74680000000000002</v>
      </c>
    </row>
    <row r="260" spans="5:25" x14ac:dyDescent="0.2">
      <c r="E260" s="47"/>
    </row>
    <row r="261" spans="5:25" x14ac:dyDescent="0.2">
      <c r="E261" s="47"/>
    </row>
    <row r="262" spans="5:25" x14ac:dyDescent="0.2">
      <c r="E262" s="47"/>
    </row>
    <row r="263" spans="5:25" x14ac:dyDescent="0.2">
      <c r="E263" s="47"/>
    </row>
    <row r="264" spans="5:25" x14ac:dyDescent="0.2">
      <c r="E264" s="47"/>
    </row>
    <row r="265" spans="5:25" x14ac:dyDescent="0.2">
      <c r="E265" s="47"/>
    </row>
    <row r="266" spans="5:25" x14ac:dyDescent="0.2">
      <c r="E266" s="47"/>
    </row>
  </sheetData>
  <sheetProtection algorithmName="SHA-512" hashValue="A4pN1N2Y0rhzWyHeYAFqm9hiQbzWKEArtPisIAU3+MzI5qURIGXP3YX3Kf4bnj8+TaGqj/4h33/4tKusOEGyXA==" saltValue="U0g6adNcUOf08TpZfW+e6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 ref="O9:T9"/>
    <mergeCell ref="U9:X9"/>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T1" zoomScale="60" zoomScaleNormal="60" workbookViewId="0">
      <pane ySplit="11" topLeftCell="A12" activePane="bottomLeft" state="frozen"/>
      <selection activeCell="S28" sqref="S28"/>
      <selection pane="bottomLeft" activeCell="F16" sqref="F16"/>
    </sheetView>
  </sheetViews>
  <sheetFormatPr defaultColWidth="8.85546875" defaultRowHeight="14.25" zeroHeight="1" x14ac:dyDescent="0.2"/>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5" thickBot="1" x14ac:dyDescent="0.25"/>
    <row r="2" spans="1:42" ht="19.5" customHeight="1" thickBot="1" x14ac:dyDescent="0.25">
      <c r="E2" s="922" t="str">
        <f>IF(Start!$F$12="","",Start!$F$12)</f>
        <v>Tyting Farm Mitigation Bank</v>
      </c>
      <c r="F2" s="923"/>
      <c r="G2" s="924"/>
      <c r="AD2" s="929" t="str">
        <f ca="1">IF(OR(COUNTIF($AD$12:AD257,"*30+*")&gt;0,COUNTIF(AH12:AH257,"*30+*")&gt;0),"Note; Habitat selected has a time to target condition greater than 30 years. Non standard agreement may be required.","")</f>
        <v>Note; Habitat selected has a time to target condition greater than 30 years. Non standard agreement may be required.</v>
      </c>
      <c r="AE2" s="929"/>
      <c r="AF2" s="929"/>
      <c r="AG2" s="929"/>
      <c r="AH2" s="929"/>
      <c r="AI2" s="929"/>
    </row>
    <row r="3" spans="1:42" ht="13.15" customHeight="1" x14ac:dyDescent="0.2">
      <c r="E3" s="890" t="str">
        <f ca="1">MID(CELL("filename",D1),FIND("]",CELL("filename",D1))+1,256)</f>
        <v>A-3 Site Habitat Enhancement</v>
      </c>
      <c r="F3" s="891"/>
      <c r="G3" s="892"/>
      <c r="AD3" s="929"/>
      <c r="AE3" s="929"/>
      <c r="AF3" s="929"/>
      <c r="AG3" s="929"/>
      <c r="AH3" s="929"/>
      <c r="AI3" s="929"/>
    </row>
    <row r="4" spans="1:42" ht="15.75" customHeight="1" thickBot="1" x14ac:dyDescent="0.3">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2">
      <c r="AD5" s="929" t="str">
        <f ca="1">IF(Q12&lt;&gt;A12,"Change in broad habitat type detected. Check compliance with guidance.","")</f>
        <v/>
      </c>
      <c r="AE5" s="929"/>
      <c r="AF5" s="929"/>
      <c r="AG5" s="929"/>
      <c r="AH5" s="929"/>
      <c r="AI5" s="929"/>
    </row>
    <row r="6" spans="1:42" ht="15.75" customHeight="1" x14ac:dyDescent="0.2">
      <c r="AD6" s="929"/>
      <c r="AE6" s="929"/>
      <c r="AF6" s="929"/>
      <c r="AG6" s="929"/>
      <c r="AH6" s="929"/>
      <c r="AI6" s="929"/>
    </row>
    <row r="7" spans="1:42" x14ac:dyDescent="0.2">
      <c r="E7" s="48"/>
      <c r="F7" s="48"/>
    </row>
    <row r="8" spans="1:42" ht="18" customHeight="1" thickBot="1" x14ac:dyDescent="0.25"/>
    <row r="9" spans="1:42" ht="15.6" customHeight="1" thickBot="1" x14ac:dyDescent="0.25">
      <c r="F9" s="55"/>
      <c r="G9" s="55"/>
      <c r="H9" s="55"/>
      <c r="I9" s="55"/>
      <c r="J9" s="55"/>
      <c r="K9" s="55"/>
      <c r="L9" s="55"/>
      <c r="M9" s="55"/>
      <c r="N9" s="55"/>
      <c r="O9" s="55"/>
      <c r="P9" s="55"/>
      <c r="Q9" s="917" t="s">
        <v>249</v>
      </c>
      <c r="R9" s="918"/>
      <c r="S9" s="918"/>
      <c r="T9" s="918"/>
      <c r="U9" s="918"/>
      <c r="V9" s="918"/>
      <c r="W9" s="918"/>
      <c r="X9" s="918"/>
      <c r="Y9" s="918"/>
      <c r="Z9" s="918"/>
      <c r="AA9" s="918"/>
      <c r="AB9" s="918"/>
      <c r="AC9" s="918"/>
      <c r="AD9" s="918"/>
      <c r="AE9" s="918"/>
      <c r="AF9" s="918"/>
      <c r="AG9" s="918"/>
      <c r="AH9" s="918"/>
      <c r="AI9" s="918"/>
      <c r="AJ9" s="918"/>
      <c r="AK9" s="918"/>
      <c r="AL9" s="918"/>
      <c r="AM9" s="919"/>
    </row>
    <row r="10" spans="1:42" ht="28.15" customHeight="1" thickBot="1" x14ac:dyDescent="0.25">
      <c r="F10" s="917" t="s">
        <v>271</v>
      </c>
      <c r="G10" s="918"/>
      <c r="H10" s="918"/>
      <c r="I10" s="918"/>
      <c r="J10" s="918"/>
      <c r="K10" s="918"/>
      <c r="L10" s="918"/>
      <c r="M10" s="918"/>
      <c r="N10" s="918"/>
      <c r="O10" s="919"/>
      <c r="P10" s="235"/>
      <c r="Q10" s="925" t="s">
        <v>272</v>
      </c>
      <c r="R10" s="926"/>
      <c r="S10" s="395"/>
      <c r="T10" s="927" t="s">
        <v>273</v>
      </c>
      <c r="U10" s="928"/>
      <c r="V10" s="931" t="s">
        <v>274</v>
      </c>
      <c r="W10" s="936" t="s">
        <v>195</v>
      </c>
      <c r="X10" s="936" t="s">
        <v>212</v>
      </c>
      <c r="Y10" s="936" t="s">
        <v>196</v>
      </c>
      <c r="Z10" s="934" t="s">
        <v>212</v>
      </c>
      <c r="AA10" s="930" t="s">
        <v>197</v>
      </c>
      <c r="AB10" s="927"/>
      <c r="AC10" s="928"/>
      <c r="AD10" s="902" t="s">
        <v>275</v>
      </c>
      <c r="AE10" s="904"/>
      <c r="AF10" s="904"/>
      <c r="AG10" s="904"/>
      <c r="AH10" s="904"/>
      <c r="AI10" s="903"/>
      <c r="AJ10" s="902" t="s">
        <v>276</v>
      </c>
      <c r="AK10" s="904"/>
      <c r="AL10" s="904"/>
      <c r="AM10" s="904"/>
      <c r="AN10" s="905" t="s">
        <v>254</v>
      </c>
      <c r="AO10" s="930" t="s">
        <v>202</v>
      </c>
      <c r="AP10" s="928"/>
    </row>
    <row r="11" spans="1:42" s="49" customFormat="1" ht="57.75" thickBot="1" x14ac:dyDescent="0.25">
      <c r="A11" s="387" t="s">
        <v>208</v>
      </c>
      <c r="B11" s="387" t="s">
        <v>277</v>
      </c>
      <c r="C11" s="387" t="s">
        <v>206</v>
      </c>
      <c r="E11" s="362" t="s">
        <v>278</v>
      </c>
      <c r="F11" s="366" t="s">
        <v>279</v>
      </c>
      <c r="G11" s="366" t="s">
        <v>280</v>
      </c>
      <c r="H11" s="366" t="s">
        <v>281</v>
      </c>
      <c r="I11" s="366" t="s">
        <v>282</v>
      </c>
      <c r="J11" s="366" t="s">
        <v>283</v>
      </c>
      <c r="K11" s="366" t="s">
        <v>284</v>
      </c>
      <c r="L11" s="366" t="s">
        <v>285</v>
      </c>
      <c r="M11" s="366" t="s">
        <v>286</v>
      </c>
      <c r="N11" s="366" t="s">
        <v>287</v>
      </c>
      <c r="O11" s="364" t="s">
        <v>198</v>
      </c>
      <c r="P11" s="360" t="s">
        <v>288</v>
      </c>
      <c r="Q11" s="379" t="s">
        <v>289</v>
      </c>
      <c r="R11" s="77" t="s">
        <v>251</v>
      </c>
      <c r="S11" s="361" t="s">
        <v>251</v>
      </c>
      <c r="T11" s="363" t="s">
        <v>290</v>
      </c>
      <c r="U11" s="365" t="s">
        <v>291</v>
      </c>
      <c r="V11" s="932"/>
      <c r="W11" s="937"/>
      <c r="X11" s="937"/>
      <c r="Y11" s="937"/>
      <c r="Z11" s="935"/>
      <c r="AA11" s="379" t="s">
        <v>197</v>
      </c>
      <c r="AB11" s="388" t="s">
        <v>197</v>
      </c>
      <c r="AC11" s="389" t="s">
        <v>255</v>
      </c>
      <c r="AD11" s="379" t="s">
        <v>256</v>
      </c>
      <c r="AE11" s="390" t="s">
        <v>292</v>
      </c>
      <c r="AF11" s="390" t="s">
        <v>293</v>
      </c>
      <c r="AG11" s="390" t="s">
        <v>259</v>
      </c>
      <c r="AH11" s="390" t="s">
        <v>260</v>
      </c>
      <c r="AI11" s="380" t="s">
        <v>261</v>
      </c>
      <c r="AJ11" s="379" t="s">
        <v>294</v>
      </c>
      <c r="AK11" s="390" t="s">
        <v>263</v>
      </c>
      <c r="AL11" s="390" t="s">
        <v>295</v>
      </c>
      <c r="AM11" s="392" t="s">
        <v>265</v>
      </c>
      <c r="AN11" s="933"/>
      <c r="AO11" s="363" t="s">
        <v>221</v>
      </c>
      <c r="AP11" s="365" t="s">
        <v>222</v>
      </c>
    </row>
    <row r="12" spans="1:42" ht="28.5" x14ac:dyDescent="0.2">
      <c r="A12" s="47" t="str">
        <f ca="1">IF(E12="","",IF(ISNA(VLOOKUP($E12,'A-1 Site Habitat Baseline'!$D$1:$O$258,2,FALSE)),"",(VLOOKUP($E12,'A-1 Site Habitat Baseline'!$D$1:$O$258,2,FALSE))))</f>
        <v>Grassland</v>
      </c>
      <c r="B12" s="47" t="str">
        <f ca="1">IF(E12="","",IF(ISNA(VLOOKUP($E12,'A-1 Site Habitat Baseline'!$D$1:$O$258,3,FALSE)),"",(VLOOKUP($E12,'A-1 Site Habitat Baseline'!$D$1:$O$258,3,FALSE))))</f>
        <v>Bracken</v>
      </c>
      <c r="C12" s="47" t="str">
        <f>IFERROR(INDEX('G-8 Condition Look up'!$I$4:$I$130,MATCH(S12,'G-8 Condition Look up'!$A$4:$A$130,0)),"")</f>
        <v>Cond4</v>
      </c>
      <c r="E12" s="530">
        <f>'A-1 Site Habitat Baseline'!AL11</f>
        <v>1</v>
      </c>
      <c r="F12" s="519" t="str">
        <f ca="1">IF(E12="","",IF(ISNA(VLOOKUP($E12,'A-1 Site Habitat Baseline'!$D$1:$O$258,4,FALSE)),"",(VLOOKUP($E12,'A-1 Site Habitat Baseline'!$D$1:$O$258,4,FALSE))))</f>
        <v>Grassland - Bracken</v>
      </c>
      <c r="G12" s="519">
        <f ca="1">IF(E12="","",IF(ISNA(VLOOKUP($E12,'A-1 Site Habitat Baseline'!$D$1:$O$258,5,FALSE)),"",(VLOOKUP($E12,'A-1 Site Habitat Baseline'!$D$1:$O$258,5,FALSE))))</f>
        <v>0.5171</v>
      </c>
      <c r="H12" s="519" t="str">
        <f ca="1">IF(E12="","",IF(ISNA(VLOOKUP($E12,'A-1 Site Habitat Baseline'!$D$1:$O$258,6,FALSE)),"",(VLOOKUP($E12,'A-1 Site Habitat Baseline'!$D$1:$O$258,6,FALSE))))</f>
        <v>Low</v>
      </c>
      <c r="I12" s="519">
        <f ca="1">IF(E12="","",IF(ISNA(VLOOKUP($E12,'A-1 Site Habitat Baseline'!$D$1:$O$258,7,FALSE)),"",(VLOOKUP($E12,'A-1 Site Habitat Baseline'!$D$1:$O$258,7,FALSE))))</f>
        <v>2</v>
      </c>
      <c r="J12" s="519" t="str">
        <f ca="1">IF(E12="","",IF(ISNA(VLOOKUP($E12,'A-1 Site Habitat Baseline'!$D$1:$O$258,8,FALSE)),"",(VLOOKUP($E12,'A-1 Site Habitat Baseline'!$D$1:$O$258,8,FALSE))))</f>
        <v>Condition Assessment N/A</v>
      </c>
      <c r="K12" s="519">
        <f ca="1">IF(E12="","",IF(ISNA(VLOOKUP($E12,'A-1 Site Habitat Baseline'!$D$1:$O$258,9,FALSE)),"",(VLOOKUP($E12,'A-1 Site Habitat Baseline'!$D$1:$O$258,9,FALSE))))</f>
        <v>1</v>
      </c>
      <c r="L12" s="519" t="str">
        <f ca="1">IF(E12="","",IF(ISNA(VLOOKUP($E12,'A-1 Site Habitat Baseline'!$D$1:$O$258,11,FALSE)),"",(VLOOKUP($E12,'A-1 Site Habitat Baseline'!$D$1:$O$258,11,FALSE))))</f>
        <v xml:space="preserve">High strategic significance </v>
      </c>
      <c r="M12" s="519">
        <f ca="1">IF(E12="","",IF(ISNA(VLOOKUP($E12,'A-1 Site Habitat Baseline'!$D$1:$O$258,12,FALSE)),"",(VLOOKUP($E12,'A-1 Site Habitat Baseline'!$D$1:$O$258,12,FALSE))))</f>
        <v>1.1499999999999999</v>
      </c>
      <c r="N12" s="531">
        <f ca="1">IF(E12="","",IF(ISNA(VLOOKUP($E12,'A-1 Site Habitat Baseline'!$D$1:$X$258,14,FALSE)),"",(VLOOKUP($E12,'A-1 Site Habitat Baseline'!$D$1:$X$258,14,FALSE))))</f>
        <v>1.18933</v>
      </c>
      <c r="O12" s="523" t="str">
        <f ca="1">IF(E12="","",IF(ISNA(VLOOKUP($E12,'A-1 Site Habitat Baseline'!$D$1:$X$258,16,FALSE)),"",(VLOOKUP($E12,'A-1 Site Habitat Baseline'!$D$1:$X$258,13,FALSE))))</f>
        <v>Same distinctiveness or better habitat required ≥</v>
      </c>
      <c r="P12" s="236" t="str">
        <f>IFERROR(INDEX('G-1 All Habitats'!$AG$3:$AG$15,MATCH(Q12,'G-1 All Habitats'!$AF$3:$AF$15,0)),"")</f>
        <v>Grassland</v>
      </c>
      <c r="Q12" s="237" t="s">
        <v>76</v>
      </c>
      <c r="R12" s="237" t="s">
        <v>235</v>
      </c>
      <c r="S12" s="391" t="str">
        <f>IFERROR(INDEX('G-1 All Habitats'!$B$3:$B$129,MATCH(R12,'G-1 All Habitats'!$A$3:$A$129,0)),"")</f>
        <v>Grassland - Other lowland acid grassland</v>
      </c>
      <c r="T12" s="497"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Low - Medium</v>
      </c>
      <c r="U12" s="498"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Lower Distinctiveness Habitat - Good</v>
      </c>
      <c r="V12" s="536">
        <f>IF(S12="","",VLOOKUP(E12,BaselineHabSite,17,FALSE))</f>
        <v>0.5171</v>
      </c>
      <c r="W12" s="519" t="str">
        <f>IF(S12="","",VLOOKUP(S12,'G-1 All Habitats'!$B$2:$M$129,10,FALSE))</f>
        <v>Medium</v>
      </c>
      <c r="X12" s="519">
        <f>IFERROR(VLOOKUP(W12,'G-1 All Habitats'!$V$3:$W$7,2,FALSE),"")</f>
        <v>4</v>
      </c>
      <c r="Y12" s="79" t="s">
        <v>27</v>
      </c>
      <c r="Z12" s="523">
        <f>IFERROR(INDEX('G-8 Condition Look up'!$A$3:$H$130,MATCH(S12,'G-8 Condition Look up'!$A$3:$A$130,0),MATCH(Y12,'G-8 Condition Look up'!$A$3:$H$3,0)),"")</f>
        <v>3</v>
      </c>
      <c r="AA12" s="71" t="s">
        <v>231</v>
      </c>
      <c r="AB12" s="519" t="str">
        <f>IF(AA12="","",IF(VLOOKUP(AA12,'G-3 Multipliers'!$L$3:$N$6,2,FALSE)=0,"Spatial Data Missing ⚠",VLOOKUP(AA12,'G-3 Multipliers'!$L$3:$N$6,2,FALSE)))</f>
        <v xml:space="preserve">High strategic significance </v>
      </c>
      <c r="AC12" s="523">
        <f>IF(AA12="","",IF(VLOOKUP(AA12,'G-3 Multipliers'!$L$3:$N$6,3,FALSE)=0,"Spatial Data Missing ⚠",VLOOKUP(AA12,'G-3 Multipliers'!$L$3:$N$6,3,FALSE)))</f>
        <v>1.1499999999999999</v>
      </c>
      <c r="AD12" s="538">
        <f t="shared" ref="AD12:AD75" ca="1" si="0">IFERROR(IF(OR(LEFT(U12,5)="Error ▲",LEFT(T12,5)="Error ▲"),"Check Data ⚠",INDEX(EnhanceTemporal,MATCH(S12,EnhanceHabitat,0),MATCH(U12,EnhanceCondition,0))),"")</f>
        <v>15</v>
      </c>
      <c r="AE12" s="82">
        <v>0</v>
      </c>
      <c r="AF12" s="82">
        <v>0</v>
      </c>
      <c r="AG12" s="506"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520">
        <f ca="1">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15</v>
      </c>
      <c r="AI12" s="521">
        <f ca="1">IF(AH12="Check Data ⚠","Check Data ⚠",IFERROR(VLOOKUP(AH12,'G-4 Temporal multipliers'!$A$4:$C$36,3,FALSE),""))</f>
        <v>0.58601630550000006</v>
      </c>
      <c r="AJ12" s="497" t="str">
        <f>IF(S12="","",VLOOKUP(S12,'G-3 Multipliers'!$A$2:$E$129,4,FALSE))</f>
        <v>Low</v>
      </c>
      <c r="AK12" s="506" t="str">
        <f ca="1">IF(E12="","",IF(AG12="Check details - Is there evidence that habitat has reached target condition? ⚠","Low Difficulty - only applicable if all habitat created before losses ⚠","Standard difficulty applied"))</f>
        <v>Standard difficulty applied</v>
      </c>
      <c r="AL12" s="506" t="str">
        <f ca="1">(IF(AND(AK12="Standard difficulty applied",AD12&gt;AE12),AJ12,IF(AND(AK12="Low Difficulty - only applicable if all habitat created before losses ⚠",AE12&gt;=AD12),"Low", AJ12)))</f>
        <v>Low</v>
      </c>
      <c r="AM12" s="539">
        <f ca="1">IFERROR(IF(F12="","",IF(AH12="Check Data ⚠","Check Data ⚠",VLOOKUP(AL12, 'G-3 Multipliers'!$P$2:$Q$6,2,FALSE))),"")</f>
        <v>1</v>
      </c>
      <c r="AN12" s="512">
        <f ca="1">IFERROR(((((V12*X12*Z12)-(V12*I12*K12))*(AM12*AI12))+(V12*I12*K12))*(AC12),"")</f>
        <v>4.6741638631015743</v>
      </c>
      <c r="AO12" s="238"/>
      <c r="AP12" s="239"/>
    </row>
    <row r="13" spans="1:42" ht="28.5" x14ac:dyDescent="0.2">
      <c r="A13" s="47" t="str">
        <f ca="1">IF(E13="","",IF(ISNA(VLOOKUP($E13,'A-1 Site Habitat Baseline'!$D$1:$O$258,2,FALSE)),"",(VLOOKUP($E13,'A-1 Site Habitat Baseline'!$D$1:$O$258,2,FALSE))))</f>
        <v>Grassland</v>
      </c>
      <c r="B13" s="47" t="str">
        <f ca="1">IF(E13="","",IF(ISNA(VLOOKUP($E13,'A-1 Site Habitat Baseline'!$D$1:$O$258,3,FALSE)),"",(VLOOKUP($E13,'A-1 Site Habitat Baseline'!$D$1:$O$258,3,FALSE))))</f>
        <v>Lowland calcareous grassland</v>
      </c>
      <c r="C13" s="47" t="str">
        <f>IFERROR(INDEX('G-8 Condition Look up'!$I$4:$I$130,MATCH(S13,'G-8 Condition Look up'!$A$4:$A$130,0)),"")</f>
        <v>Cond4</v>
      </c>
      <c r="E13" s="530">
        <f>'A-1 Site Habitat Baseline'!AL12</f>
        <v>2</v>
      </c>
      <c r="F13" s="519" t="str">
        <f ca="1">IF(E13="","",IF(ISNA(VLOOKUP($E13,'A-1 Site Habitat Baseline'!$D$1:$O$258,4,FALSE)),"",(VLOOKUP($E13,'A-1 Site Habitat Baseline'!$D$1:$O$258,4,FALSE))))</f>
        <v>Grassland - Lowland calcareous grassland</v>
      </c>
      <c r="G13" s="519">
        <f ca="1">IF(E13="","",IF(ISNA(VLOOKUP($E13,'A-1 Site Habitat Baseline'!$D$1:$O$258,5,FALSE)),"",(VLOOKUP($E13,'A-1 Site Habitat Baseline'!$D$1:$O$258,5,FALSE))))</f>
        <v>0.38300000000000001</v>
      </c>
      <c r="H13" s="519" t="str">
        <f ca="1">IF(E13="","",IF(ISNA(VLOOKUP($E13,'A-1 Site Habitat Baseline'!$D$1:$O$258,6,FALSE)),"",(VLOOKUP($E13,'A-1 Site Habitat Baseline'!$D$1:$O$258,6,FALSE))))</f>
        <v>High</v>
      </c>
      <c r="I13" s="519">
        <f ca="1">IF(E13="","",IF(ISNA(VLOOKUP($E13,'A-1 Site Habitat Baseline'!$D$1:$O$258,7,FALSE)),"",(VLOOKUP($E13,'A-1 Site Habitat Baseline'!$D$1:$O$258,7,FALSE))))</f>
        <v>6</v>
      </c>
      <c r="J13" s="519" t="str">
        <f ca="1">IF(E13="","",IF(ISNA(VLOOKUP($E13,'A-1 Site Habitat Baseline'!$D$1:$O$258,8,FALSE)),"",(VLOOKUP($E13,'A-1 Site Habitat Baseline'!$D$1:$O$258,8,FALSE))))</f>
        <v>Poor</v>
      </c>
      <c r="K13" s="519">
        <f ca="1">IF(E13="","",IF(ISNA(VLOOKUP($E13,'A-1 Site Habitat Baseline'!$D$1:$O$258,9,FALSE)),"",(VLOOKUP($E13,'A-1 Site Habitat Baseline'!$D$1:$O$258,9,FALSE))))</f>
        <v>1</v>
      </c>
      <c r="L13" s="519" t="str">
        <f ca="1">IF(E13="","",IF(ISNA(VLOOKUP($E13,'A-1 Site Habitat Baseline'!$D$1:$O$258,11,FALSE)),"",(VLOOKUP($E13,'A-1 Site Habitat Baseline'!$D$1:$O$258,11,FALSE))))</f>
        <v xml:space="preserve">High strategic significance </v>
      </c>
      <c r="M13" s="519">
        <f ca="1">IF(E13="","",IF(ISNA(VLOOKUP($E13,'A-1 Site Habitat Baseline'!$D$1:$O$258,12,FALSE)),"",(VLOOKUP($E13,'A-1 Site Habitat Baseline'!$D$1:$O$258,12,FALSE))))</f>
        <v>1.1499999999999999</v>
      </c>
      <c r="N13" s="531">
        <f ca="1">IF(E13="","",IF(ISNA(VLOOKUP($E13,'A-1 Site Habitat Baseline'!$D$1:$X$258,14,FALSE)),"",(VLOOKUP($E13,'A-1 Site Habitat Baseline'!$D$1:$X$258,14,FALSE))))</f>
        <v>2.6427</v>
      </c>
      <c r="O13" s="523" t="str">
        <f ca="1">IF(E13="","",IF(ISNA(VLOOKUP($E13,'A-1 Site Habitat Baseline'!$D$1:$X$258,16,FALSE)),"",(VLOOKUP($E13,'A-1 Site Habitat Baseline'!$D$1:$X$258,13,FALSE))))</f>
        <v>Same habitat required =</v>
      </c>
      <c r="P13" s="236" t="str">
        <f>IFERROR(INDEX('G-1 All Habitats'!$AG$3:$AG$15,MATCH(Q13,'G-1 All Habitats'!$AF$3:$AF$15,0)),"")</f>
        <v>Grassland</v>
      </c>
      <c r="Q13" s="237" t="s">
        <v>76</v>
      </c>
      <c r="R13" s="237" t="s">
        <v>232</v>
      </c>
      <c r="S13" s="391" t="str">
        <f>IFERROR(INDEX('G-1 All Habitats'!$B$3:$B$129,MATCH(R13,'G-1 All Habitats'!$A$3:$A$129,0)),"")</f>
        <v>Grassland - Lowland calcareous grassland</v>
      </c>
      <c r="T13" s="497" t="str">
        <f t="shared" ref="T13:T76" ca="1" si="1">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High - High</v>
      </c>
      <c r="U13" s="498" t="str">
        <f t="shared" ref="U13:U76" ca="1" si="2">IF(F13="","",IF(AND(LEFT(F13,55)&lt;&gt;LEFT(S13,55),T13= "High - High"),"Error - Not like for like ▲",IF(AND(I13=X13,K13&gt;Z13),"Error - Can not reduce condition ▲",IF(AND(I13=X13,K13=Z13),"Error - No enhancement ▲",IF(X13&lt;I13,"Error Trading Down ▲",IF(AND(F13&lt;&gt;S13,I13&lt;X13),"Lower Distinctiveness Habitat"&amp;" - "&amp;Y13,J13&amp;" - "&amp;Y13))))))</f>
        <v>Poor - Good</v>
      </c>
      <c r="V13" s="536">
        <f t="shared" ref="V13:V75" si="3">IF(S13="","",VLOOKUP(E13,BaselineHabSite,17,FALSE))</f>
        <v>0.38300000000000001</v>
      </c>
      <c r="W13" s="519" t="str">
        <f>IF(S13="","",VLOOKUP(S13,'G-1 All Habitats'!$B$2:$M$129,10,FALSE))</f>
        <v>High</v>
      </c>
      <c r="X13" s="519">
        <f>IFERROR(VLOOKUP(W13,'G-1 All Habitats'!$V$3:$W$7,2,FALSE),"")</f>
        <v>6</v>
      </c>
      <c r="Y13" s="79" t="s">
        <v>27</v>
      </c>
      <c r="Z13" s="523">
        <f>IFERROR(INDEX('G-8 Condition Look up'!$A$3:$H$130,MATCH(S13,'G-8 Condition Look up'!$A$3:$A$130,0),MATCH(Y13,'G-8 Condition Look up'!$A$3:$H$3,0)),"")</f>
        <v>3</v>
      </c>
      <c r="AA13" s="71" t="s">
        <v>231</v>
      </c>
      <c r="AB13" s="519" t="str">
        <f>IF(AA13="","",IF(VLOOKUP(AA13,'G-3 Multipliers'!$L$3:$N$6,2,FALSE)=0,"Spatial Data Missing ⚠",VLOOKUP(AA13,'G-3 Multipliers'!$L$3:$N$6,2,FALSE)))</f>
        <v xml:space="preserve">High strategic significance </v>
      </c>
      <c r="AC13" s="523">
        <f>IF(AA13="","",IF(VLOOKUP(AA13,'G-3 Multipliers'!$L$3:$N$6,3,FALSE)=0,"Spatial Data Missing ⚠",VLOOKUP(AA13,'G-3 Multipliers'!$L$3:$N$6,3,FALSE)))</f>
        <v>1.1499999999999999</v>
      </c>
      <c r="AD13" s="538">
        <f t="shared" ca="1" si="0"/>
        <v>20</v>
      </c>
      <c r="AE13" s="82">
        <v>0</v>
      </c>
      <c r="AF13" s="82">
        <v>0</v>
      </c>
      <c r="AG13" s="506" t="str">
        <f t="shared" ref="AG13:AG76" ca="1"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520">
        <f t="shared" ref="AH13:AH76" ca="1" si="5">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20</v>
      </c>
      <c r="AI13" s="521">
        <f ca="1">IF(AH13="Check Data","Check Data",IFERROR(VLOOKUP(AH13,'G-4 Temporal multipliers'!$A$4:$C$36,3,FALSE),""))</f>
        <v>0.49039526350000001</v>
      </c>
      <c r="AJ13" s="497" t="str">
        <f>IF(S13="","",VLOOKUP(S13,'G-3 Multipliers'!$A$2:$E$129,4,FALSE))</f>
        <v>High</v>
      </c>
      <c r="AK13" s="506" t="str">
        <f t="shared" ref="AK13:AK76" ca="1" si="6">IF(E13="","",IF(AG13="Check details - Is there evidence that habitat has reached target condition? ⚠","Low Difficulty - only applicable if all habitat created before losses ⚠","Standard difficulty applied"))</f>
        <v>Standard difficulty applied</v>
      </c>
      <c r="AL13" s="506" t="str">
        <f t="shared" ref="AL13:AL76" ca="1" si="7">(IF(AND(AK13="Standard difficulty applied",AD13&gt;AE13),AJ13,IF(AND(AK13="Low Difficulty - only applicable if all habitat created before losses ⚠",AE13&gt;=AD13),"Low", AJ13)))</f>
        <v>High</v>
      </c>
      <c r="AM13" s="539">
        <f ca="1">IFERROR(IF(F13="","",IF(AH13="Check Data ⚠","Check Data ⚠",VLOOKUP(AL13, 'G-3 Multipliers'!$P$2:$Q$6,2,FALSE))),"")</f>
        <v>0.33</v>
      </c>
      <c r="AN13" s="512">
        <f t="shared" ref="AN13:AN75" ca="1" si="8">IFERROR(((((V13*X13*Z13)-(V13*I13*K13))*(AM13*AI13))+(V13*I13*K13))*(AC13),"")</f>
        <v>3.4980385914819565</v>
      </c>
      <c r="AO13" s="238"/>
      <c r="AP13" s="239"/>
    </row>
    <row r="14" spans="1:42" ht="28.5" x14ac:dyDescent="0.2">
      <c r="A14" s="47" t="str">
        <f ca="1">IF(E14="","",IF(ISNA(VLOOKUP($E14,'A-1 Site Habitat Baseline'!$D$1:$O$258,2,FALSE)),"",(VLOOKUP($E14,'A-1 Site Habitat Baseline'!$D$1:$O$258,2,FALSE))))</f>
        <v>Grassland</v>
      </c>
      <c r="B14" s="47" t="str">
        <f ca="1">IF(E14="","",IF(ISNA(VLOOKUP($E14,'A-1 Site Habitat Baseline'!$D$1:$O$258,3,FALSE)),"",(VLOOKUP($E14,'A-1 Site Habitat Baseline'!$D$1:$O$258,3,FALSE))))</f>
        <v>Lowland calcareous grassland</v>
      </c>
      <c r="C14" s="47" t="str">
        <f>IFERROR(INDEX('G-8 Condition Look up'!$I$4:$I$130,MATCH(S14,'G-8 Condition Look up'!$A$4:$A$130,0)),"")</f>
        <v>Cond4</v>
      </c>
      <c r="E14" s="530">
        <f>'A-1 Site Habitat Baseline'!AL13</f>
        <v>3</v>
      </c>
      <c r="F14" s="519" t="str">
        <f ca="1">IF(E14="","",IF(ISNA(VLOOKUP($E14,'A-1 Site Habitat Baseline'!$D$1:$O$258,4,FALSE)),"",(VLOOKUP($E14,'A-1 Site Habitat Baseline'!$D$1:$O$258,4,FALSE))))</f>
        <v>Grassland - Lowland calcareous grassland</v>
      </c>
      <c r="G14" s="519">
        <f ca="1">IF(E14="","",IF(ISNA(VLOOKUP($E14,'A-1 Site Habitat Baseline'!$D$1:$O$258,5,FALSE)),"",(VLOOKUP($E14,'A-1 Site Habitat Baseline'!$D$1:$O$258,5,FALSE))))</f>
        <v>7.6227999999999998</v>
      </c>
      <c r="H14" s="519" t="str">
        <f ca="1">IF(E14="","",IF(ISNA(VLOOKUP($E14,'A-1 Site Habitat Baseline'!$D$1:$O$258,6,FALSE)),"",(VLOOKUP($E14,'A-1 Site Habitat Baseline'!$D$1:$O$258,6,FALSE))))</f>
        <v>High</v>
      </c>
      <c r="I14" s="519">
        <f ca="1">IF(E14="","",IF(ISNA(VLOOKUP($E14,'A-1 Site Habitat Baseline'!$D$1:$O$258,7,FALSE)),"",(VLOOKUP($E14,'A-1 Site Habitat Baseline'!$D$1:$O$258,7,FALSE))))</f>
        <v>6</v>
      </c>
      <c r="J14" s="519" t="str">
        <f ca="1">IF(E14="","",IF(ISNA(VLOOKUP($E14,'A-1 Site Habitat Baseline'!$D$1:$O$258,8,FALSE)),"",(VLOOKUP($E14,'A-1 Site Habitat Baseline'!$D$1:$O$258,8,FALSE))))</f>
        <v>Poor</v>
      </c>
      <c r="K14" s="519">
        <f ca="1">IF(E14="","",IF(ISNA(VLOOKUP($E14,'A-1 Site Habitat Baseline'!$D$1:$O$258,9,FALSE)),"",(VLOOKUP($E14,'A-1 Site Habitat Baseline'!$D$1:$O$258,9,FALSE))))</f>
        <v>1</v>
      </c>
      <c r="L14" s="519" t="str">
        <f ca="1">IF(E14="","",IF(ISNA(VLOOKUP($E14,'A-1 Site Habitat Baseline'!$D$1:$O$258,11,FALSE)),"",(VLOOKUP($E14,'A-1 Site Habitat Baseline'!$D$1:$O$258,11,FALSE))))</f>
        <v xml:space="preserve">High strategic significance </v>
      </c>
      <c r="M14" s="519">
        <f ca="1">IF(E14="","",IF(ISNA(VLOOKUP($E14,'A-1 Site Habitat Baseline'!$D$1:$O$258,12,FALSE)),"",(VLOOKUP($E14,'A-1 Site Habitat Baseline'!$D$1:$O$258,12,FALSE))))</f>
        <v>1.1499999999999999</v>
      </c>
      <c r="N14" s="531">
        <f ca="1">IF(E14="","",IF(ISNA(VLOOKUP($E14,'A-1 Site Habitat Baseline'!$D$1:$X$258,14,FALSE)),"",(VLOOKUP($E14,'A-1 Site Habitat Baseline'!$D$1:$X$258,14,FALSE))))</f>
        <v>52.597319999999996</v>
      </c>
      <c r="O14" s="523" t="str">
        <f ca="1">IF(E14="","",IF(ISNA(VLOOKUP($E14,'A-1 Site Habitat Baseline'!$D$1:$X$258,16,FALSE)),"",(VLOOKUP($E14,'A-1 Site Habitat Baseline'!$D$1:$X$258,13,FALSE))))</f>
        <v>Same habitat required =</v>
      </c>
      <c r="P14" s="236" t="str">
        <f>IFERROR(INDEX('G-1 All Habitats'!$AG$3:$AG$15,MATCH(Q14,'G-1 All Habitats'!$AF$3:$AF$15,0)),"")</f>
        <v>Grassland</v>
      </c>
      <c r="Q14" s="237" t="s">
        <v>76</v>
      </c>
      <c r="R14" s="237" t="s">
        <v>232</v>
      </c>
      <c r="S14" s="391" t="str">
        <f>IFERROR(INDEX('G-1 All Habitats'!$B$3:$B$129,MATCH(R14,'G-1 All Habitats'!$A$3:$A$129,0)),"")</f>
        <v>Grassland - Lowland calcareous grassland</v>
      </c>
      <c r="T14" s="497" t="str">
        <f t="shared" ca="1" si="1"/>
        <v>High - High</v>
      </c>
      <c r="U14" s="498" t="str">
        <f t="shared" ca="1" si="2"/>
        <v>Poor - Moderate</v>
      </c>
      <c r="V14" s="536">
        <f t="shared" si="3"/>
        <v>7.6227999999999998</v>
      </c>
      <c r="W14" s="519" t="str">
        <f>IF(S14="","",VLOOKUP(S14,'G-1 All Habitats'!$B$2:$M$129,10,FALSE))</f>
        <v>High</v>
      </c>
      <c r="X14" s="519">
        <f>IFERROR(VLOOKUP(W14,'G-1 All Habitats'!$V$3:$W$7,2,FALSE),"")</f>
        <v>6</v>
      </c>
      <c r="Y14" s="79" t="s">
        <v>26</v>
      </c>
      <c r="Z14" s="523">
        <f>IFERROR(INDEX('G-8 Condition Look up'!$A$3:$H$130,MATCH(S14,'G-8 Condition Look up'!$A$3:$A$130,0),MATCH(Y14,'G-8 Condition Look up'!$A$3:$H$3,0)),"")</f>
        <v>2</v>
      </c>
      <c r="AA14" s="71" t="s">
        <v>231</v>
      </c>
      <c r="AB14" s="519" t="str">
        <f>IF(AA14="","",IF(VLOOKUP(AA14,'G-3 Multipliers'!$L$3:$N$6,2,FALSE)=0,"Spatial Data Missing ⚠",VLOOKUP(AA14,'G-3 Multipliers'!$L$3:$N$6,2,FALSE)))</f>
        <v xml:space="preserve">High strategic significance </v>
      </c>
      <c r="AC14" s="523">
        <f>IF(AA14="","",IF(VLOOKUP(AA14,'G-3 Multipliers'!$L$3:$N$6,3,FALSE)=0,"Spatial Data Missing ⚠",VLOOKUP(AA14,'G-3 Multipliers'!$L$3:$N$6,3,FALSE)))</f>
        <v>1.1499999999999999</v>
      </c>
      <c r="AD14" s="538">
        <f t="shared" ca="1" si="0"/>
        <v>10</v>
      </c>
      <c r="AE14" s="82">
        <v>0</v>
      </c>
      <c r="AF14" s="82">
        <v>0</v>
      </c>
      <c r="AG14" s="506" t="str">
        <f t="shared" ca="1" si="4"/>
        <v>Standard time to target condition applied</v>
      </c>
      <c r="AH14" s="520">
        <f t="shared" ca="1" si="5"/>
        <v>10</v>
      </c>
      <c r="AI14" s="521">
        <f ca="1">IF(AH14="Check Data","Check Data",IFERROR(VLOOKUP(AH14,'G-4 Temporal multipliers'!$A$4:$C$36,3,FALSE),""))</f>
        <v>0.70028227419999989</v>
      </c>
      <c r="AJ14" s="497" t="str">
        <f>IF(S14="","",VLOOKUP(S14,'G-3 Multipliers'!$A$2:$E$129,4,FALSE))</f>
        <v>High</v>
      </c>
      <c r="AK14" s="506" t="str">
        <f t="shared" ca="1" si="6"/>
        <v>Standard difficulty applied</v>
      </c>
      <c r="AL14" s="506" t="str">
        <f t="shared" ca="1" si="7"/>
        <v>High</v>
      </c>
      <c r="AM14" s="539">
        <f ca="1">IFERROR(IF(F14="","",IF(AH14="Check Data ⚠","Check Data ⚠",VLOOKUP(AL14, 'G-3 Multipliers'!$P$2:$Q$6,2,FALSE))),"")</f>
        <v>0.33</v>
      </c>
      <c r="AN14" s="512">
        <f ca="1">IFERROR(((((V14*X14*Z14)-(V14*I14*K14))*(AM14*AI14))+(V14*I14*K14))*(AC14),"")</f>
        <v>64.752200385920304</v>
      </c>
      <c r="AO14" s="238"/>
      <c r="AP14" s="239"/>
    </row>
    <row r="15" spans="1:42" ht="28.5" x14ac:dyDescent="0.2">
      <c r="A15" s="47" t="str">
        <f ca="1">IF(E15="","",IF(ISNA(VLOOKUP($E15,'A-1 Site Habitat Baseline'!$D$1:$O$258,2,FALSE)),"",(VLOOKUP($E15,'A-1 Site Habitat Baseline'!$D$1:$O$258,2,FALSE))))</f>
        <v>Grassland</v>
      </c>
      <c r="B15" s="47" t="str">
        <f ca="1">IF(E15="","",IF(ISNA(VLOOKUP($E15,'A-1 Site Habitat Baseline'!$D$1:$O$258,3,FALSE)),"",(VLOOKUP($E15,'A-1 Site Habitat Baseline'!$D$1:$O$258,3,FALSE))))</f>
        <v>Modified grassland</v>
      </c>
      <c r="C15" s="47" t="str">
        <f>IFERROR(INDEX('G-8 Condition Look up'!$I$4:$I$130,MATCH(S15,'G-8 Condition Look up'!$A$4:$A$130,0)),"")</f>
        <v>Cond4</v>
      </c>
      <c r="E15" s="530">
        <f>'A-1 Site Habitat Baseline'!AL14</f>
        <v>4</v>
      </c>
      <c r="F15" s="519" t="str">
        <f ca="1">IF(E15="","",IF(ISNA(VLOOKUP($E15,'A-1 Site Habitat Baseline'!$D$1:$O$258,4,FALSE)),"",(VLOOKUP($E15,'A-1 Site Habitat Baseline'!$D$1:$O$258,4,FALSE))))</f>
        <v>Grassland - Modified grassland</v>
      </c>
      <c r="G15" s="519">
        <f ca="1">IF(E15="","",IF(ISNA(VLOOKUP($E15,'A-1 Site Habitat Baseline'!$D$1:$O$258,5,FALSE)),"",(VLOOKUP($E15,'A-1 Site Habitat Baseline'!$D$1:$O$258,5,FALSE))))</f>
        <v>10.0351</v>
      </c>
      <c r="H15" s="519" t="str">
        <f ca="1">IF(E15="","",IF(ISNA(VLOOKUP($E15,'A-1 Site Habitat Baseline'!$D$1:$O$258,6,FALSE)),"",(VLOOKUP($E15,'A-1 Site Habitat Baseline'!$D$1:$O$258,6,FALSE))))</f>
        <v>Low</v>
      </c>
      <c r="I15" s="519">
        <f ca="1">IF(E15="","",IF(ISNA(VLOOKUP($E15,'A-1 Site Habitat Baseline'!$D$1:$O$258,7,FALSE)),"",(VLOOKUP($E15,'A-1 Site Habitat Baseline'!$D$1:$O$258,7,FALSE))))</f>
        <v>2</v>
      </c>
      <c r="J15" s="519" t="str">
        <f ca="1">IF(E15="","",IF(ISNA(VLOOKUP($E15,'A-1 Site Habitat Baseline'!$D$1:$O$258,8,FALSE)),"",(VLOOKUP($E15,'A-1 Site Habitat Baseline'!$D$1:$O$258,8,FALSE))))</f>
        <v>Moderate</v>
      </c>
      <c r="K15" s="519">
        <f ca="1">IF(E15="","",IF(ISNA(VLOOKUP($E15,'A-1 Site Habitat Baseline'!$D$1:$O$258,9,FALSE)),"",(VLOOKUP($E15,'A-1 Site Habitat Baseline'!$D$1:$O$258,9,FALSE))))</f>
        <v>2</v>
      </c>
      <c r="L15" s="519" t="str">
        <f ca="1">IF(E15="","",IF(ISNA(VLOOKUP($E15,'A-1 Site Habitat Baseline'!$D$1:$O$258,11,FALSE)),"",(VLOOKUP($E15,'A-1 Site Habitat Baseline'!$D$1:$O$258,11,FALSE))))</f>
        <v xml:space="preserve">High strategic significance </v>
      </c>
      <c r="M15" s="519">
        <f ca="1">IF(E15="","",IF(ISNA(VLOOKUP($E15,'A-1 Site Habitat Baseline'!$D$1:$O$258,12,FALSE)),"",(VLOOKUP($E15,'A-1 Site Habitat Baseline'!$D$1:$O$258,12,FALSE))))</f>
        <v>1.1499999999999999</v>
      </c>
      <c r="N15" s="531">
        <f ca="1">IF(E15="","",IF(ISNA(VLOOKUP($E15,'A-1 Site Habitat Baseline'!$D$1:$X$258,14,FALSE)),"",(VLOOKUP($E15,'A-1 Site Habitat Baseline'!$D$1:$X$258,14,FALSE))))</f>
        <v>46.161459999999998</v>
      </c>
      <c r="O15" s="523" t="str">
        <f ca="1">IF(E15="","",IF(ISNA(VLOOKUP($E15,'A-1 Site Habitat Baseline'!$D$1:$X$258,16,FALSE)),"",(VLOOKUP($E15,'A-1 Site Habitat Baseline'!$D$1:$X$258,13,FALSE))))</f>
        <v>Same distinctiveness or better habitat required ≥</v>
      </c>
      <c r="P15" s="236" t="str">
        <f>IFERROR(INDEX('G-1 All Habitats'!$AG$3:$AG$15,MATCH(Q15,'G-1 All Habitats'!$AF$3:$AF$15,0)),"")</f>
        <v>Grassland</v>
      </c>
      <c r="Q15" s="237" t="s">
        <v>76</v>
      </c>
      <c r="R15" s="237" t="s">
        <v>236</v>
      </c>
      <c r="S15" s="391" t="str">
        <f>IFERROR(INDEX('G-1 All Habitats'!$B$3:$B$129,MATCH(R15,'G-1 All Habitats'!$A$3:$A$129,0)),"")</f>
        <v>Grassland - Other neutral grassland</v>
      </c>
      <c r="T15" s="497" t="str">
        <f t="shared" ca="1" si="1"/>
        <v>Low - Medium</v>
      </c>
      <c r="U15" s="498" t="str">
        <f t="shared" ca="1" si="2"/>
        <v>Lower Distinctiveness Habitat - Good</v>
      </c>
      <c r="V15" s="536">
        <f t="shared" si="3"/>
        <v>10.0351</v>
      </c>
      <c r="W15" s="519" t="str">
        <f>IF(S15="","",VLOOKUP(S15,'G-1 All Habitats'!$B$2:$M$129,10,FALSE))</f>
        <v>Medium</v>
      </c>
      <c r="X15" s="519">
        <f>IFERROR(VLOOKUP(W15,'G-1 All Habitats'!$V$3:$W$7,2,FALSE),"")</f>
        <v>4</v>
      </c>
      <c r="Y15" s="79" t="s">
        <v>27</v>
      </c>
      <c r="Z15" s="523">
        <f>IFERROR(INDEX('G-8 Condition Look up'!$A$3:$H$130,MATCH(S15,'G-8 Condition Look up'!$A$3:$A$130,0),MATCH(Y15,'G-8 Condition Look up'!$A$3:$H$3,0)),"")</f>
        <v>3</v>
      </c>
      <c r="AA15" s="71" t="s">
        <v>231</v>
      </c>
      <c r="AB15" s="519" t="str">
        <f>IF(AA15="","",IF(VLOOKUP(AA15,'G-3 Multipliers'!$L$3:$N$6,2,FALSE)=0,"Spatial Data Missing ⚠",VLOOKUP(AA15,'G-3 Multipliers'!$L$3:$N$6,2,FALSE)))</f>
        <v xml:space="preserve">High strategic significance </v>
      </c>
      <c r="AC15" s="523">
        <f>IF(AA15="","",IF(VLOOKUP(AA15,'G-3 Multipliers'!$L$3:$N$6,3,FALSE)=0,"Spatial Data Missing ⚠",VLOOKUP(AA15,'G-3 Multipliers'!$L$3:$N$6,3,FALSE)))</f>
        <v>1.1499999999999999</v>
      </c>
      <c r="AD15" s="538">
        <f t="shared" ca="1" si="0"/>
        <v>15</v>
      </c>
      <c r="AE15" s="82">
        <v>0</v>
      </c>
      <c r="AF15" s="82">
        <v>0</v>
      </c>
      <c r="AG15" s="506" t="str">
        <f t="shared" ca="1" si="4"/>
        <v>Standard time to target condition applied</v>
      </c>
      <c r="AH15" s="520">
        <f t="shared" ca="1" si="5"/>
        <v>15</v>
      </c>
      <c r="AI15" s="521">
        <f ca="1">IF(AH15="Check Data","Check Data",IFERROR(VLOOKUP(AH15,'G-4 Temporal multipliers'!$A$4:$C$36,3,FALSE),""))</f>
        <v>0.58601630550000006</v>
      </c>
      <c r="AJ15" s="497" t="str">
        <f>IF(S15="","",VLOOKUP(S15,'G-3 Multipliers'!$A$2:$E$129,4,FALSE))</f>
        <v>Low</v>
      </c>
      <c r="AK15" s="506" t="str">
        <f t="shared" ca="1" si="6"/>
        <v>Standard difficulty applied</v>
      </c>
      <c r="AL15" s="506" t="str">
        <f t="shared" ca="1" si="7"/>
        <v>Low</v>
      </c>
      <c r="AM15" s="539">
        <f ca="1">IFERROR(IF(F15="","",IF(AH15="Check Data ⚠","Check Data ⚠",VLOOKUP(AL15, 'G-3 Multipliers'!$P$2:$Q$6,2,FALSE))),"")</f>
        <v>1</v>
      </c>
      <c r="AN15" s="512">
        <f t="shared" ca="1" si="8"/>
        <v>100.26419649137206</v>
      </c>
      <c r="AO15" s="238"/>
      <c r="AP15" s="239"/>
    </row>
    <row r="16" spans="1:42" ht="28.5" x14ac:dyDescent="0.2">
      <c r="A16" s="47" t="str">
        <f ca="1">IF(E16="","",IF(ISNA(VLOOKUP($E16,'A-1 Site Habitat Baseline'!$D$1:$O$258,2,FALSE)),"",(VLOOKUP($E16,'A-1 Site Habitat Baseline'!$D$1:$O$258,2,FALSE))))</f>
        <v>Grassland</v>
      </c>
      <c r="B16" s="47" t="str">
        <f ca="1">IF(E16="","",IF(ISNA(VLOOKUP($E16,'A-1 Site Habitat Baseline'!$D$1:$O$258,3,FALSE)),"",(VLOOKUP($E16,'A-1 Site Habitat Baseline'!$D$1:$O$258,3,FALSE))))</f>
        <v>Modified grassland</v>
      </c>
      <c r="C16" s="47" t="str">
        <f>IFERROR(INDEX('G-8 Condition Look up'!$I$4:$I$130,MATCH(S16,'G-8 Condition Look up'!$A$4:$A$130,0)),"")</f>
        <v>Cond4</v>
      </c>
      <c r="E16" s="530">
        <f>'A-1 Site Habitat Baseline'!AL15</f>
        <v>5</v>
      </c>
      <c r="F16" s="519" t="str">
        <f ca="1">IF(E16="","",IF(ISNA(VLOOKUP($E16,'A-1 Site Habitat Baseline'!$D$1:$O$258,4,FALSE)),"",(VLOOKUP($E16,'A-1 Site Habitat Baseline'!$D$1:$O$258,4,FALSE))))</f>
        <v>Grassland - Modified grassland</v>
      </c>
      <c r="G16" s="519">
        <f ca="1">IF(E16="","",IF(ISNA(VLOOKUP($E16,'A-1 Site Habitat Baseline'!$D$1:$O$258,5,FALSE)),"",(VLOOKUP($E16,'A-1 Site Habitat Baseline'!$D$1:$O$258,5,FALSE))))</f>
        <v>0.8871</v>
      </c>
      <c r="H16" s="519" t="str">
        <f ca="1">IF(E16="","",IF(ISNA(VLOOKUP($E16,'A-1 Site Habitat Baseline'!$D$1:$O$258,6,FALSE)),"",(VLOOKUP($E16,'A-1 Site Habitat Baseline'!$D$1:$O$258,6,FALSE))))</f>
        <v>Low</v>
      </c>
      <c r="I16" s="519">
        <f ca="1">IF(E16="","",IF(ISNA(VLOOKUP($E16,'A-1 Site Habitat Baseline'!$D$1:$O$258,7,FALSE)),"",(VLOOKUP($E16,'A-1 Site Habitat Baseline'!$D$1:$O$258,7,FALSE))))</f>
        <v>2</v>
      </c>
      <c r="J16" s="519" t="str">
        <f ca="1">IF(E16="","",IF(ISNA(VLOOKUP($E16,'A-1 Site Habitat Baseline'!$D$1:$O$258,8,FALSE)),"",(VLOOKUP($E16,'A-1 Site Habitat Baseline'!$D$1:$O$258,8,FALSE))))</f>
        <v>Moderate</v>
      </c>
      <c r="K16" s="519">
        <f ca="1">IF(E16="","",IF(ISNA(VLOOKUP($E16,'A-1 Site Habitat Baseline'!$D$1:$O$258,9,FALSE)),"",(VLOOKUP($E16,'A-1 Site Habitat Baseline'!$D$1:$O$258,9,FALSE))))</f>
        <v>2</v>
      </c>
      <c r="L16" s="519" t="str">
        <f ca="1">IF(E16="","",IF(ISNA(VLOOKUP($E16,'A-1 Site Habitat Baseline'!$D$1:$O$258,11,FALSE)),"",(VLOOKUP($E16,'A-1 Site Habitat Baseline'!$D$1:$O$258,11,FALSE))))</f>
        <v xml:space="preserve">High strategic significance </v>
      </c>
      <c r="M16" s="519">
        <f ca="1">IF(E16="","",IF(ISNA(VLOOKUP($E16,'A-1 Site Habitat Baseline'!$D$1:$O$258,12,FALSE)),"",(VLOOKUP($E16,'A-1 Site Habitat Baseline'!$D$1:$O$258,12,FALSE))))</f>
        <v>1.1499999999999999</v>
      </c>
      <c r="N16" s="531">
        <f ca="1">IF(E16="","",IF(ISNA(VLOOKUP($E16,'A-1 Site Habitat Baseline'!$D$1:$X$258,14,FALSE)),"",(VLOOKUP($E16,'A-1 Site Habitat Baseline'!$D$1:$X$258,14,FALSE))))</f>
        <v>4.08066</v>
      </c>
      <c r="O16" s="523" t="str">
        <f ca="1">IF(E16="","",IF(ISNA(VLOOKUP($E16,'A-1 Site Habitat Baseline'!$D$1:$X$258,16,FALSE)),"",(VLOOKUP($E16,'A-1 Site Habitat Baseline'!$D$1:$X$258,13,FALSE))))</f>
        <v>Same distinctiveness or better habitat required ≥</v>
      </c>
      <c r="P16" s="236" t="str">
        <f>IFERROR(INDEX('G-1 All Habitats'!$AG$3:$AG$15,MATCH(Q16,'G-1 All Habitats'!$AF$3:$AF$15,0)),"")</f>
        <v>Woodland_and_forest</v>
      </c>
      <c r="Q16" s="237" t="s">
        <v>82</v>
      </c>
      <c r="R16" s="237" t="s">
        <v>296</v>
      </c>
      <c r="S16" s="391" t="str">
        <f>IFERROR(INDEX('G-1 All Habitats'!$B$3:$B$129,MATCH(R16,'G-1 All Habitats'!$A$3:$A$129,0)),"")</f>
        <v>Woodland and forest - Wood-pasture and parkland</v>
      </c>
      <c r="T16" s="497" t="str">
        <f t="shared" ca="1" si="1"/>
        <v>Low - V.High</v>
      </c>
      <c r="U16" s="498" t="str">
        <f t="shared" ca="1" si="2"/>
        <v>Lower Distinctiveness Habitat - Good</v>
      </c>
      <c r="V16" s="536">
        <f t="shared" si="3"/>
        <v>0.8871</v>
      </c>
      <c r="W16" s="519" t="str">
        <f>IF(S16="","",VLOOKUP(S16,'G-1 All Habitats'!$B$2:$M$129,10,FALSE))</f>
        <v>V.High</v>
      </c>
      <c r="X16" s="519">
        <f>IFERROR(VLOOKUP(W16,'G-1 All Habitats'!$V$3:$W$7,2,FALSE),"")</f>
        <v>8</v>
      </c>
      <c r="Y16" s="79" t="s">
        <v>27</v>
      </c>
      <c r="Z16" s="523">
        <f>IFERROR(INDEX('G-8 Condition Look up'!$A$3:$H$130,MATCH(S16,'G-8 Condition Look up'!$A$3:$A$130,0),MATCH(Y16,'G-8 Condition Look up'!$A$3:$H$3,0)),"")</f>
        <v>3</v>
      </c>
      <c r="AA16" s="71" t="s">
        <v>231</v>
      </c>
      <c r="AB16" s="519" t="str">
        <f>IF(AA16="","",IF(VLOOKUP(AA16,'G-3 Multipliers'!$L$3:$N$6,2,FALSE)=0,"Spatial Data Missing ⚠",VLOOKUP(AA16,'G-3 Multipliers'!$L$3:$N$6,2,FALSE)))</f>
        <v xml:space="preserve">High strategic significance </v>
      </c>
      <c r="AC16" s="523">
        <f>IF(AA16="","",IF(VLOOKUP(AA16,'G-3 Multipliers'!$L$3:$N$6,3,FALSE)=0,"Spatial Data Missing ⚠",VLOOKUP(AA16,'G-3 Multipliers'!$L$3:$N$6,3,FALSE)))</f>
        <v>1.1499999999999999</v>
      </c>
      <c r="AD16" s="538" t="str">
        <f t="shared" ca="1" si="0"/>
        <v>30+</v>
      </c>
      <c r="AE16" s="82">
        <v>0</v>
      </c>
      <c r="AF16" s="82">
        <v>0</v>
      </c>
      <c r="AG16" s="506" t="str">
        <f t="shared" ca="1" si="4"/>
        <v>Standard time to target condition applied</v>
      </c>
      <c r="AH16" s="520" t="str">
        <f t="shared" ca="1" si="5"/>
        <v>30+</v>
      </c>
      <c r="AI16" s="521">
        <f ca="1">IF(AH16="Check Data","Check Data",IFERROR(VLOOKUP(AH16,'G-4 Temporal multipliers'!$A$4:$C$36,3,FALSE),""))</f>
        <v>0.31979673609999998</v>
      </c>
      <c r="AJ16" s="497" t="str">
        <f>IF(S16="","",VLOOKUP(S16,'G-3 Multipliers'!$A$2:$E$129,4,FALSE))</f>
        <v>High</v>
      </c>
      <c r="AK16" s="506" t="str">
        <f t="shared" ca="1" si="6"/>
        <v>Standard difficulty applied</v>
      </c>
      <c r="AL16" s="506" t="str">
        <f t="shared" ca="1" si="7"/>
        <v>High</v>
      </c>
      <c r="AM16" s="539">
        <f ca="1">IFERROR(IF(F16="","",IF(AH16="Check Data ⚠","Check Data ⚠",VLOOKUP(AL16, 'G-3 Multipliers'!$P$2:$Q$6,2,FALSE))),"")</f>
        <v>0.33</v>
      </c>
      <c r="AN16" s="512">
        <f t="shared" ca="1" si="8"/>
        <v>6.2338798860708122</v>
      </c>
      <c r="AO16" s="238"/>
      <c r="AP16" s="239"/>
    </row>
    <row r="17" spans="1:42" ht="28.5" x14ac:dyDescent="0.2">
      <c r="A17" s="47" t="str">
        <f ca="1">IF(E17="","",IF(ISNA(VLOOKUP($E17,'A-1 Site Habitat Baseline'!$D$1:$O$258,2,FALSE)),"",(VLOOKUP($E17,'A-1 Site Habitat Baseline'!$D$1:$O$258,2,FALSE))))</f>
        <v>Grassland</v>
      </c>
      <c r="B17" s="47" t="str">
        <f ca="1">IF(E17="","",IF(ISNA(VLOOKUP($E17,'A-1 Site Habitat Baseline'!$D$1:$O$258,3,FALSE)),"",(VLOOKUP($E17,'A-1 Site Habitat Baseline'!$D$1:$O$258,3,FALSE))))</f>
        <v>Modified grassland</v>
      </c>
      <c r="C17" s="47" t="str">
        <f>IFERROR(INDEX('G-8 Condition Look up'!$I$4:$I$130,MATCH(S17,'G-8 Condition Look up'!$A$4:$A$130,0)),"")</f>
        <v>Cond4</v>
      </c>
      <c r="E17" s="530">
        <f>'A-1 Site Habitat Baseline'!AL16</f>
        <v>6</v>
      </c>
      <c r="F17" s="519" t="str">
        <f ca="1">IF(E17="","",IF(ISNA(VLOOKUP($E17,'A-1 Site Habitat Baseline'!$D$1:$O$258,4,FALSE)),"",(VLOOKUP($E17,'A-1 Site Habitat Baseline'!$D$1:$O$258,4,FALSE))))</f>
        <v>Grassland - Modified grassland</v>
      </c>
      <c r="G17" s="519">
        <f ca="1">IF(E17="","",IF(ISNA(VLOOKUP($E17,'A-1 Site Habitat Baseline'!$D$1:$O$258,5,FALSE)),"",(VLOOKUP($E17,'A-1 Site Habitat Baseline'!$D$1:$O$258,5,FALSE))))</f>
        <v>0.16589999999999999</v>
      </c>
      <c r="H17" s="519" t="str">
        <f ca="1">IF(E17="","",IF(ISNA(VLOOKUP($E17,'A-1 Site Habitat Baseline'!$D$1:$O$258,6,FALSE)),"",(VLOOKUP($E17,'A-1 Site Habitat Baseline'!$D$1:$O$258,6,FALSE))))</f>
        <v>Low</v>
      </c>
      <c r="I17" s="519">
        <f ca="1">IF(E17="","",IF(ISNA(VLOOKUP($E17,'A-1 Site Habitat Baseline'!$D$1:$O$258,7,FALSE)),"",(VLOOKUP($E17,'A-1 Site Habitat Baseline'!$D$1:$O$258,7,FALSE))))</f>
        <v>2</v>
      </c>
      <c r="J17" s="519" t="str">
        <f ca="1">IF(E17="","",IF(ISNA(VLOOKUP($E17,'A-1 Site Habitat Baseline'!$D$1:$O$258,8,FALSE)),"",(VLOOKUP($E17,'A-1 Site Habitat Baseline'!$D$1:$O$258,8,FALSE))))</f>
        <v>Poor</v>
      </c>
      <c r="K17" s="519">
        <f ca="1">IF(E17="","",IF(ISNA(VLOOKUP($E17,'A-1 Site Habitat Baseline'!$D$1:$O$258,9,FALSE)),"",(VLOOKUP($E17,'A-1 Site Habitat Baseline'!$D$1:$O$258,9,FALSE))))</f>
        <v>1</v>
      </c>
      <c r="L17" s="519" t="str">
        <f ca="1">IF(E17="","",IF(ISNA(VLOOKUP($E17,'A-1 Site Habitat Baseline'!$D$1:$O$258,11,FALSE)),"",(VLOOKUP($E17,'A-1 Site Habitat Baseline'!$D$1:$O$258,11,FALSE))))</f>
        <v xml:space="preserve">High strategic significance </v>
      </c>
      <c r="M17" s="519">
        <f ca="1">IF(E17="","",IF(ISNA(VLOOKUP($E17,'A-1 Site Habitat Baseline'!$D$1:$O$258,12,FALSE)),"",(VLOOKUP($E17,'A-1 Site Habitat Baseline'!$D$1:$O$258,12,FALSE))))</f>
        <v>1.1499999999999999</v>
      </c>
      <c r="N17" s="531">
        <f ca="1">IF(E17="","",IF(ISNA(VLOOKUP($E17,'A-1 Site Habitat Baseline'!$D$1:$X$258,14,FALSE)),"",(VLOOKUP($E17,'A-1 Site Habitat Baseline'!$D$1:$X$258,14,FALSE))))</f>
        <v>0.38156999999999996</v>
      </c>
      <c r="O17" s="523" t="str">
        <f ca="1">IF(E17="","",IF(ISNA(VLOOKUP($E17,'A-1 Site Habitat Baseline'!$D$1:$X$258,16,FALSE)),"",(VLOOKUP($E17,'A-1 Site Habitat Baseline'!$D$1:$X$258,13,FALSE))))</f>
        <v>Same distinctiveness or better habitat required ≥</v>
      </c>
      <c r="P17" s="236" t="str">
        <f>IFERROR(INDEX('G-1 All Habitats'!$AG$3:$AG$15,MATCH(Q17,'G-1 All Habitats'!$AF$3:$AF$15,0)),"")</f>
        <v>Grassland</v>
      </c>
      <c r="Q17" s="237" t="s">
        <v>76</v>
      </c>
      <c r="R17" s="237" t="s">
        <v>234</v>
      </c>
      <c r="S17" s="391" t="str">
        <f>IFERROR(INDEX('G-1 All Habitats'!$B$3:$B$129,MATCH(R17,'G-1 All Habitats'!$A$3:$A$129,0)),"")</f>
        <v>Grassland - Modified grassland</v>
      </c>
      <c r="T17" s="497" t="str">
        <f t="shared" ca="1" si="1"/>
        <v>Low - Low</v>
      </c>
      <c r="U17" s="498" t="str">
        <f t="shared" ca="1" si="2"/>
        <v>Poor - Good</v>
      </c>
      <c r="V17" s="536">
        <f t="shared" si="3"/>
        <v>0.16589999999999999</v>
      </c>
      <c r="W17" s="519" t="str">
        <f>IF(S17="","",VLOOKUP(S17,'G-1 All Habitats'!$B$2:$M$129,10,FALSE))</f>
        <v>Low</v>
      </c>
      <c r="X17" s="519">
        <f>IFERROR(VLOOKUP(W17,'G-1 All Habitats'!$V$3:$W$7,2,FALSE),"")</f>
        <v>2</v>
      </c>
      <c r="Y17" s="79" t="s">
        <v>27</v>
      </c>
      <c r="Z17" s="523">
        <f>IFERROR(INDEX('G-8 Condition Look up'!$A$3:$H$130,MATCH(S17,'G-8 Condition Look up'!$A$3:$A$130,0),MATCH(Y17,'G-8 Condition Look up'!$A$3:$H$3,0)),"")</f>
        <v>3</v>
      </c>
      <c r="AA17" s="71" t="s">
        <v>231</v>
      </c>
      <c r="AB17" s="519" t="str">
        <f>IF(AA17="","",IF(VLOOKUP(AA17,'G-3 Multipliers'!$L$3:$N$6,2,FALSE)=0,"Spatial Data Missing ⚠",VLOOKUP(AA17,'G-3 Multipliers'!$L$3:$N$6,2,FALSE)))</f>
        <v xml:space="preserve">High strategic significance </v>
      </c>
      <c r="AC17" s="523">
        <f>IF(AA17="","",IF(VLOOKUP(AA17,'G-3 Multipliers'!$L$3:$N$6,3,FALSE)=0,"Spatial Data Missing ⚠",VLOOKUP(AA17,'G-3 Multipliers'!$L$3:$N$6,3,FALSE)))</f>
        <v>1.1499999999999999</v>
      </c>
      <c r="AD17" s="538">
        <f t="shared" ca="1" si="0"/>
        <v>15</v>
      </c>
      <c r="AE17" s="82">
        <v>0</v>
      </c>
      <c r="AF17" s="82">
        <v>0</v>
      </c>
      <c r="AG17" s="506" t="str">
        <f t="shared" ca="1" si="4"/>
        <v>Standard time to target condition applied</v>
      </c>
      <c r="AH17" s="520">
        <f t="shared" ca="1" si="5"/>
        <v>15</v>
      </c>
      <c r="AI17" s="521">
        <f ca="1">IF(AH17="Check Data","Check Data",IFERROR(VLOOKUP(AH17,'G-4 Temporal multipliers'!$A$4:$C$36,3,FALSE),""))</f>
        <v>0.58601630550000006</v>
      </c>
      <c r="AJ17" s="497" t="str">
        <f>IF(S17="","",VLOOKUP(S17,'G-3 Multipliers'!$A$2:$E$129,4,FALSE))</f>
        <v>Low</v>
      </c>
      <c r="AK17" s="506" t="str">
        <f t="shared" ca="1" si="6"/>
        <v>Standard difficulty applied</v>
      </c>
      <c r="AL17" s="506" t="str">
        <f t="shared" ca="1" si="7"/>
        <v>Low</v>
      </c>
      <c r="AM17" s="539">
        <f ca="1">IFERROR(IF(F17="","",IF(AH17="Check Data ⚠","Check Data ⚠",VLOOKUP(AL17, 'G-3 Multipliers'!$P$2:$Q$6,2,FALSE))),"")</f>
        <v>1</v>
      </c>
      <c r="AN17" s="512">
        <f t="shared" ca="1" si="8"/>
        <v>0.82878248337926996</v>
      </c>
      <c r="AO17" s="238"/>
      <c r="AP17" s="239"/>
    </row>
    <row r="18" spans="1:42" ht="42.75" x14ac:dyDescent="0.2">
      <c r="A18" s="47" t="str">
        <f ca="1">IF(E18="","",IF(ISNA(VLOOKUP($E18,'A-1 Site Habitat Baseline'!$D$1:$O$258,2,FALSE)),"",(VLOOKUP($E18,'A-1 Site Habitat Baseline'!$D$1:$O$258,2,FALSE))))</f>
        <v>Grassland</v>
      </c>
      <c r="B18" s="47" t="str">
        <f ca="1">IF(E18="","",IF(ISNA(VLOOKUP($E18,'A-1 Site Habitat Baseline'!$D$1:$O$258,3,FALSE)),"",(VLOOKUP($E18,'A-1 Site Habitat Baseline'!$D$1:$O$258,3,FALSE))))</f>
        <v>Other lowland acid grassland</v>
      </c>
      <c r="C18" s="47" t="str">
        <f>IFERROR(INDEX('G-8 Condition Look up'!$I$4:$I$130,MATCH(S18,'G-8 Condition Look up'!$A$4:$A$130,0)),"")</f>
        <v>Cond4</v>
      </c>
      <c r="E18" s="530">
        <f>'A-1 Site Habitat Baseline'!AL17</f>
        <v>7</v>
      </c>
      <c r="F18" s="519" t="str">
        <f ca="1">IF(E18="","",IF(ISNA(VLOOKUP($E18,'A-1 Site Habitat Baseline'!$D$1:$O$258,4,FALSE)),"",(VLOOKUP($E18,'A-1 Site Habitat Baseline'!$D$1:$O$258,4,FALSE))))</f>
        <v>Grassland - Other lowland acid grassland</v>
      </c>
      <c r="G18" s="519">
        <f ca="1">IF(E18="","",IF(ISNA(VLOOKUP($E18,'A-1 Site Habitat Baseline'!$D$1:$O$258,5,FALSE)),"",(VLOOKUP($E18,'A-1 Site Habitat Baseline'!$D$1:$O$258,5,FALSE))))</f>
        <v>0.20749999999999999</v>
      </c>
      <c r="H18" s="519" t="str">
        <f ca="1">IF(E18="","",IF(ISNA(VLOOKUP($E18,'A-1 Site Habitat Baseline'!$D$1:$O$258,6,FALSE)),"",(VLOOKUP($E18,'A-1 Site Habitat Baseline'!$D$1:$O$258,6,FALSE))))</f>
        <v>Medium</v>
      </c>
      <c r="I18" s="519">
        <f ca="1">IF(E18="","",IF(ISNA(VLOOKUP($E18,'A-1 Site Habitat Baseline'!$D$1:$O$258,7,FALSE)),"",(VLOOKUP($E18,'A-1 Site Habitat Baseline'!$D$1:$O$258,7,FALSE))))</f>
        <v>4</v>
      </c>
      <c r="J18" s="519" t="str">
        <f ca="1">IF(E18="","",IF(ISNA(VLOOKUP($E18,'A-1 Site Habitat Baseline'!$D$1:$O$258,8,FALSE)),"",(VLOOKUP($E18,'A-1 Site Habitat Baseline'!$D$1:$O$258,8,FALSE))))</f>
        <v>Poor</v>
      </c>
      <c r="K18" s="519">
        <f ca="1">IF(E18="","",IF(ISNA(VLOOKUP($E18,'A-1 Site Habitat Baseline'!$D$1:$O$258,9,FALSE)),"",(VLOOKUP($E18,'A-1 Site Habitat Baseline'!$D$1:$O$258,9,FALSE))))</f>
        <v>1</v>
      </c>
      <c r="L18" s="519" t="str">
        <f ca="1">IF(E18="","",IF(ISNA(VLOOKUP($E18,'A-1 Site Habitat Baseline'!$D$1:$O$258,11,FALSE)),"",(VLOOKUP($E18,'A-1 Site Habitat Baseline'!$D$1:$O$258,11,FALSE))))</f>
        <v xml:space="preserve">High strategic significance </v>
      </c>
      <c r="M18" s="519">
        <f ca="1">IF(E18="","",IF(ISNA(VLOOKUP($E18,'A-1 Site Habitat Baseline'!$D$1:$O$258,12,FALSE)),"",(VLOOKUP($E18,'A-1 Site Habitat Baseline'!$D$1:$O$258,12,FALSE))))</f>
        <v>1.1499999999999999</v>
      </c>
      <c r="N18" s="531">
        <f ca="1">IF(E18="","",IF(ISNA(VLOOKUP($E18,'A-1 Site Habitat Baseline'!$D$1:$X$258,14,FALSE)),"",(VLOOKUP($E18,'A-1 Site Habitat Baseline'!$D$1:$X$258,14,FALSE))))</f>
        <v>0.9544999999999999</v>
      </c>
      <c r="O18" s="523" t="str">
        <f ca="1">IF(E18="","",IF(ISNA(VLOOKUP($E18,'A-1 Site Habitat Baseline'!$D$1:$X$258,16,FALSE)),"",(VLOOKUP($E18,'A-1 Site Habitat Baseline'!$D$1:$X$258,13,FALSE))))</f>
        <v>Same broad habitat or a higher distinctiveness habitat required (≥)</v>
      </c>
      <c r="P18" s="236" t="str">
        <f>IFERROR(INDEX('G-1 All Habitats'!$AG$3:$AG$15,MATCH(Q18,'G-1 All Habitats'!$AF$3:$AF$15,0)),"")</f>
        <v>Grassland</v>
      </c>
      <c r="Q18" s="237" t="s">
        <v>76</v>
      </c>
      <c r="R18" s="237" t="s">
        <v>235</v>
      </c>
      <c r="S18" s="391" t="str">
        <f>IFERROR(INDEX('G-1 All Habitats'!$B$3:$B$129,MATCH(R18,'G-1 All Habitats'!$A$3:$A$129,0)),"")</f>
        <v>Grassland - Other lowland acid grassland</v>
      </c>
      <c r="T18" s="497" t="str">
        <f t="shared" ca="1" si="1"/>
        <v>Medium - Medium</v>
      </c>
      <c r="U18" s="498" t="str">
        <f t="shared" ca="1" si="2"/>
        <v>Poor - Moderate</v>
      </c>
      <c r="V18" s="536">
        <f t="shared" si="3"/>
        <v>0.20749999999999999</v>
      </c>
      <c r="W18" s="519" t="str">
        <f>IF(S18="","",VLOOKUP(S18,'G-1 All Habitats'!$B$2:$M$129,10,FALSE))</f>
        <v>Medium</v>
      </c>
      <c r="X18" s="519">
        <f>IFERROR(VLOOKUP(W18,'G-1 All Habitats'!$V$3:$W$7,2,FALSE),"")</f>
        <v>4</v>
      </c>
      <c r="Y18" s="79" t="s">
        <v>26</v>
      </c>
      <c r="Z18" s="523">
        <f>IFERROR(INDEX('G-8 Condition Look up'!$A$3:$H$130,MATCH(S18,'G-8 Condition Look up'!$A$3:$A$130,0),MATCH(Y18,'G-8 Condition Look up'!$A$3:$H$3,0)),"")</f>
        <v>2</v>
      </c>
      <c r="AA18" s="71" t="s">
        <v>231</v>
      </c>
      <c r="AB18" s="519" t="str">
        <f>IF(AA18="","",IF(VLOOKUP(AA18,'G-3 Multipliers'!$L$3:$N$6,2,FALSE)=0,"Spatial Data Missing ⚠",VLOOKUP(AA18,'G-3 Multipliers'!$L$3:$N$6,2,FALSE)))</f>
        <v xml:space="preserve">High strategic significance </v>
      </c>
      <c r="AC18" s="523">
        <f>IF(AA18="","",IF(VLOOKUP(AA18,'G-3 Multipliers'!$L$3:$N$6,3,FALSE)=0,"Spatial Data Missing ⚠",VLOOKUP(AA18,'G-3 Multipliers'!$L$3:$N$6,3,FALSE)))</f>
        <v>1.1499999999999999</v>
      </c>
      <c r="AD18" s="538">
        <f t="shared" ca="1" si="0"/>
        <v>10</v>
      </c>
      <c r="AE18" s="82">
        <v>0</v>
      </c>
      <c r="AF18" s="82">
        <v>0</v>
      </c>
      <c r="AG18" s="506" t="str">
        <f t="shared" ca="1" si="4"/>
        <v>Standard time to target condition applied</v>
      </c>
      <c r="AH18" s="520">
        <f t="shared" ca="1" si="5"/>
        <v>10</v>
      </c>
      <c r="AI18" s="521">
        <f ca="1">IF(AH18="Check Data","Check Data",IFERROR(VLOOKUP(AH18,'G-4 Temporal multipliers'!$A$4:$C$36,3,FALSE),""))</f>
        <v>0.70028227419999989</v>
      </c>
      <c r="AJ18" s="497" t="str">
        <f>IF(S18="","",VLOOKUP(S18,'G-3 Multipliers'!$A$2:$E$129,4,FALSE))</f>
        <v>Low</v>
      </c>
      <c r="AK18" s="506" t="str">
        <f t="shared" ca="1" si="6"/>
        <v>Standard difficulty applied</v>
      </c>
      <c r="AL18" s="506" t="str">
        <f t="shared" ca="1" si="7"/>
        <v>Low</v>
      </c>
      <c r="AM18" s="539">
        <f ca="1">IFERROR(IF(F18="","",IF(AH18="Check Data ⚠","Check Data ⚠",VLOOKUP(AL18, 'G-3 Multipliers'!$P$2:$Q$6,2,FALSE))),"")</f>
        <v>1</v>
      </c>
      <c r="AN18" s="512">
        <f t="shared" ca="1" si="8"/>
        <v>1.6229194307238997</v>
      </c>
      <c r="AO18" s="238"/>
      <c r="AP18" s="239"/>
    </row>
    <row r="19" spans="1:42" ht="42.75" x14ac:dyDescent="0.2">
      <c r="A19" s="47" t="str">
        <f ca="1">IF(E19="","",IF(ISNA(VLOOKUP($E19,'A-1 Site Habitat Baseline'!$D$1:$O$258,2,FALSE)),"",(VLOOKUP($E19,'A-1 Site Habitat Baseline'!$D$1:$O$258,2,FALSE))))</f>
        <v>Grassland</v>
      </c>
      <c r="B19" s="47" t="str">
        <f ca="1">IF(E19="","",IF(ISNA(VLOOKUP($E19,'A-1 Site Habitat Baseline'!$D$1:$O$258,3,FALSE)),"",(VLOOKUP($E19,'A-1 Site Habitat Baseline'!$D$1:$O$258,3,FALSE))))</f>
        <v>Other lowland acid grassland</v>
      </c>
      <c r="C19" s="47" t="str">
        <f>IFERROR(INDEX('G-8 Condition Look up'!$I$4:$I$130,MATCH(S19,'G-8 Condition Look up'!$A$4:$A$130,0)),"")</f>
        <v>Cond4</v>
      </c>
      <c r="E19" s="530">
        <f>'A-1 Site Habitat Baseline'!AL18</f>
        <v>8</v>
      </c>
      <c r="F19" s="519" t="str">
        <f ca="1">IF(E19="","",IF(ISNA(VLOOKUP($E19,'A-1 Site Habitat Baseline'!$D$1:$O$258,4,FALSE)),"",(VLOOKUP($E19,'A-1 Site Habitat Baseline'!$D$1:$O$258,4,FALSE))))</f>
        <v>Grassland - Other lowland acid grassland</v>
      </c>
      <c r="G19" s="519">
        <f ca="1">IF(E19="","",IF(ISNA(VLOOKUP($E19,'A-1 Site Habitat Baseline'!$D$1:$O$258,5,FALSE)),"",(VLOOKUP($E19,'A-1 Site Habitat Baseline'!$D$1:$O$258,5,FALSE))))</f>
        <v>0.44479999999999997</v>
      </c>
      <c r="H19" s="519" t="str">
        <f ca="1">IF(E19="","",IF(ISNA(VLOOKUP($E19,'A-1 Site Habitat Baseline'!$D$1:$O$258,6,FALSE)),"",(VLOOKUP($E19,'A-1 Site Habitat Baseline'!$D$1:$O$258,6,FALSE))))</f>
        <v>Medium</v>
      </c>
      <c r="I19" s="519">
        <f ca="1">IF(E19="","",IF(ISNA(VLOOKUP($E19,'A-1 Site Habitat Baseline'!$D$1:$O$258,7,FALSE)),"",(VLOOKUP($E19,'A-1 Site Habitat Baseline'!$D$1:$O$258,7,FALSE))))</f>
        <v>4</v>
      </c>
      <c r="J19" s="519" t="str">
        <f ca="1">IF(E19="","",IF(ISNA(VLOOKUP($E19,'A-1 Site Habitat Baseline'!$D$1:$O$258,8,FALSE)),"",(VLOOKUP($E19,'A-1 Site Habitat Baseline'!$D$1:$O$258,8,FALSE))))</f>
        <v>Poor</v>
      </c>
      <c r="K19" s="519">
        <f ca="1">IF(E19="","",IF(ISNA(VLOOKUP($E19,'A-1 Site Habitat Baseline'!$D$1:$O$258,9,FALSE)),"",(VLOOKUP($E19,'A-1 Site Habitat Baseline'!$D$1:$O$258,9,FALSE))))</f>
        <v>1</v>
      </c>
      <c r="L19" s="519" t="str">
        <f ca="1">IF(E19="","",IF(ISNA(VLOOKUP($E19,'A-1 Site Habitat Baseline'!$D$1:$O$258,11,FALSE)),"",(VLOOKUP($E19,'A-1 Site Habitat Baseline'!$D$1:$O$258,11,FALSE))))</f>
        <v xml:space="preserve">High strategic significance </v>
      </c>
      <c r="M19" s="519">
        <f ca="1">IF(E19="","",IF(ISNA(VLOOKUP($E19,'A-1 Site Habitat Baseline'!$D$1:$O$258,12,FALSE)),"",(VLOOKUP($E19,'A-1 Site Habitat Baseline'!$D$1:$O$258,12,FALSE))))</f>
        <v>1.1499999999999999</v>
      </c>
      <c r="N19" s="531">
        <f ca="1">IF(E19="","",IF(ISNA(VLOOKUP($E19,'A-1 Site Habitat Baseline'!$D$1:$X$258,14,FALSE)),"",(VLOOKUP($E19,'A-1 Site Habitat Baseline'!$D$1:$X$258,14,FALSE))))</f>
        <v>2.0460799999999999</v>
      </c>
      <c r="O19" s="523" t="str">
        <f ca="1">IF(E19="","",IF(ISNA(VLOOKUP($E19,'A-1 Site Habitat Baseline'!$D$1:$X$258,16,FALSE)),"",(VLOOKUP($E19,'A-1 Site Habitat Baseline'!$D$1:$X$258,13,FALSE))))</f>
        <v>Same broad habitat or a higher distinctiveness habitat required (≥)</v>
      </c>
      <c r="P19" s="236" t="str">
        <f>IFERROR(INDEX('G-1 All Habitats'!$AG$3:$AG$15,MATCH(Q19,'G-1 All Habitats'!$AF$3:$AF$15,0)),"")</f>
        <v>Grassland</v>
      </c>
      <c r="Q19" s="237" t="s">
        <v>76</v>
      </c>
      <c r="R19" s="237" t="s">
        <v>235</v>
      </c>
      <c r="S19" s="391" t="str">
        <f>IFERROR(INDEX('G-1 All Habitats'!$B$3:$B$129,MATCH(R19,'G-1 All Habitats'!$A$3:$A$129,0)),"")</f>
        <v>Grassland - Other lowland acid grassland</v>
      </c>
      <c r="T19" s="497" t="str">
        <f t="shared" ca="1" si="1"/>
        <v>Medium - Medium</v>
      </c>
      <c r="U19" s="498" t="str">
        <f t="shared" ca="1" si="2"/>
        <v>Poor - Moderate</v>
      </c>
      <c r="V19" s="536">
        <f t="shared" si="3"/>
        <v>0.44479999999999997</v>
      </c>
      <c r="W19" s="519" t="str">
        <f>IF(S19="","",VLOOKUP(S19,'G-1 All Habitats'!$B$2:$M$129,10,FALSE))</f>
        <v>Medium</v>
      </c>
      <c r="X19" s="519">
        <f>IFERROR(VLOOKUP(W19,'G-1 All Habitats'!$V$3:$W$7,2,FALSE),"")</f>
        <v>4</v>
      </c>
      <c r="Y19" s="79" t="s">
        <v>26</v>
      </c>
      <c r="Z19" s="523">
        <f>IFERROR(INDEX('G-8 Condition Look up'!$A$3:$H$130,MATCH(S19,'G-8 Condition Look up'!$A$3:$A$130,0),MATCH(Y19,'G-8 Condition Look up'!$A$3:$H$3,0)),"")</f>
        <v>2</v>
      </c>
      <c r="AA19" s="71" t="s">
        <v>231</v>
      </c>
      <c r="AB19" s="519" t="str">
        <f>IF(AA19="","",IF(VLOOKUP(AA19,'G-3 Multipliers'!$L$3:$N$6,2,FALSE)=0,"Spatial Data Missing ⚠",VLOOKUP(AA19,'G-3 Multipliers'!$L$3:$N$6,2,FALSE)))</f>
        <v xml:space="preserve">High strategic significance </v>
      </c>
      <c r="AC19" s="523">
        <f>IF(AA19="","",IF(VLOOKUP(AA19,'G-3 Multipliers'!$L$3:$N$6,3,FALSE)=0,"Spatial Data Missing ⚠",VLOOKUP(AA19,'G-3 Multipliers'!$L$3:$N$6,3,FALSE)))</f>
        <v>1.1499999999999999</v>
      </c>
      <c r="AD19" s="538">
        <f t="shared" ca="1" si="0"/>
        <v>10</v>
      </c>
      <c r="AE19" s="82">
        <v>0</v>
      </c>
      <c r="AF19" s="82">
        <v>0</v>
      </c>
      <c r="AG19" s="506" t="str">
        <f t="shared" ca="1" si="4"/>
        <v>Standard time to target condition applied</v>
      </c>
      <c r="AH19" s="520">
        <f t="shared" ca="1" si="5"/>
        <v>10</v>
      </c>
      <c r="AI19" s="521">
        <f ca="1">IF(AH19="Check Data","Check Data",IFERROR(VLOOKUP(AH19,'G-4 Temporal multipliers'!$A$4:$C$36,3,FALSE),""))</f>
        <v>0.70028227419999989</v>
      </c>
      <c r="AJ19" s="497" t="str">
        <f>IF(S19="","",VLOOKUP(S19,'G-3 Multipliers'!$A$2:$E$129,4,FALSE))</f>
        <v>Low</v>
      </c>
      <c r="AK19" s="506" t="str">
        <f t="shared" ca="1" si="6"/>
        <v>Standard difficulty applied</v>
      </c>
      <c r="AL19" s="506" t="str">
        <f t="shared" ca="1" si="7"/>
        <v>Low</v>
      </c>
      <c r="AM19" s="539">
        <f ca="1">IFERROR(IF(F19="","",IF(AH19="Check Data ⚠","Check Data ⚠",VLOOKUP(AL19, 'G-3 Multipliers'!$P$2:$Q$6,2,FALSE))),"")</f>
        <v>1</v>
      </c>
      <c r="AN19" s="512">
        <f t="shared" ca="1" si="8"/>
        <v>3.4789135555951352</v>
      </c>
      <c r="AO19" s="238"/>
      <c r="AP19" s="239"/>
    </row>
    <row r="20" spans="1:42" ht="42.75" x14ac:dyDescent="0.2">
      <c r="A20" s="47" t="str">
        <f ca="1">IF(E20="","",IF(ISNA(VLOOKUP($E20,'A-1 Site Habitat Baseline'!$D$1:$O$258,2,FALSE)),"",(VLOOKUP($E20,'A-1 Site Habitat Baseline'!$D$1:$O$258,2,FALSE))))</f>
        <v>Grassland</v>
      </c>
      <c r="B20" s="47" t="str">
        <f ca="1">IF(E20="","",IF(ISNA(VLOOKUP($E20,'A-1 Site Habitat Baseline'!$D$1:$O$258,3,FALSE)),"",(VLOOKUP($E20,'A-1 Site Habitat Baseline'!$D$1:$O$258,3,FALSE))))</f>
        <v>Other neutral grassland</v>
      </c>
      <c r="C20" s="47" t="str">
        <f>IFERROR(INDEX('G-8 Condition Look up'!$I$4:$I$130,MATCH(S20,'G-8 Condition Look up'!$A$4:$A$130,0)),"")</f>
        <v>Cond4</v>
      </c>
      <c r="E20" s="530">
        <f>'A-1 Site Habitat Baseline'!AL19</f>
        <v>9</v>
      </c>
      <c r="F20" s="519" t="str">
        <f ca="1">IF(E20="","",IF(ISNA(VLOOKUP($E20,'A-1 Site Habitat Baseline'!$D$1:$O$258,4,FALSE)),"",(VLOOKUP($E20,'A-1 Site Habitat Baseline'!$D$1:$O$258,4,FALSE))))</f>
        <v>Grassland - Other neutral grassland</v>
      </c>
      <c r="G20" s="519">
        <f ca="1">IF(E20="","",IF(ISNA(VLOOKUP($E20,'A-1 Site Habitat Baseline'!$D$1:$O$258,5,FALSE)),"",(VLOOKUP($E20,'A-1 Site Habitat Baseline'!$D$1:$O$258,5,FALSE))))</f>
        <v>17.578199999999999</v>
      </c>
      <c r="H20" s="519" t="str">
        <f ca="1">IF(E20="","",IF(ISNA(VLOOKUP($E20,'A-1 Site Habitat Baseline'!$D$1:$O$258,6,FALSE)),"",(VLOOKUP($E20,'A-1 Site Habitat Baseline'!$D$1:$O$258,6,FALSE))))</f>
        <v>Medium</v>
      </c>
      <c r="I20" s="519">
        <f ca="1">IF(E20="","",IF(ISNA(VLOOKUP($E20,'A-1 Site Habitat Baseline'!$D$1:$O$258,7,FALSE)),"",(VLOOKUP($E20,'A-1 Site Habitat Baseline'!$D$1:$O$258,7,FALSE))))</f>
        <v>4</v>
      </c>
      <c r="J20" s="519" t="str">
        <f ca="1">IF(E20="","",IF(ISNA(VLOOKUP($E20,'A-1 Site Habitat Baseline'!$D$1:$O$258,8,FALSE)),"",(VLOOKUP($E20,'A-1 Site Habitat Baseline'!$D$1:$O$258,8,FALSE))))</f>
        <v>Poor</v>
      </c>
      <c r="K20" s="519">
        <f ca="1">IF(E20="","",IF(ISNA(VLOOKUP($E20,'A-1 Site Habitat Baseline'!$D$1:$O$258,9,FALSE)),"",(VLOOKUP($E20,'A-1 Site Habitat Baseline'!$D$1:$O$258,9,FALSE))))</f>
        <v>1</v>
      </c>
      <c r="L20" s="519" t="str">
        <f ca="1">IF(E20="","",IF(ISNA(VLOOKUP($E20,'A-1 Site Habitat Baseline'!$D$1:$O$258,11,FALSE)),"",(VLOOKUP($E20,'A-1 Site Habitat Baseline'!$D$1:$O$258,11,FALSE))))</f>
        <v xml:space="preserve">High strategic significance </v>
      </c>
      <c r="M20" s="519">
        <f ca="1">IF(E20="","",IF(ISNA(VLOOKUP($E20,'A-1 Site Habitat Baseline'!$D$1:$O$258,12,FALSE)),"",(VLOOKUP($E20,'A-1 Site Habitat Baseline'!$D$1:$O$258,12,FALSE))))</f>
        <v>1.1499999999999999</v>
      </c>
      <c r="N20" s="531">
        <f ca="1">IF(E20="","",IF(ISNA(VLOOKUP($E20,'A-1 Site Habitat Baseline'!$D$1:$X$258,14,FALSE)),"",(VLOOKUP($E20,'A-1 Site Habitat Baseline'!$D$1:$X$258,14,FALSE))))</f>
        <v>80.859719999999996</v>
      </c>
      <c r="O20" s="523" t="str">
        <f ca="1">IF(E20="","",IF(ISNA(VLOOKUP($E20,'A-1 Site Habitat Baseline'!$D$1:$X$258,16,FALSE)),"",(VLOOKUP($E20,'A-1 Site Habitat Baseline'!$D$1:$X$258,13,FALSE))))</f>
        <v>Same broad habitat or a higher distinctiveness habitat required (≥)</v>
      </c>
      <c r="P20" s="236" t="str">
        <f>IFERROR(INDEX('G-1 All Habitats'!$AG$3:$AG$15,MATCH(Q20,'G-1 All Habitats'!$AF$3:$AF$15,0)),"")</f>
        <v>Grassland</v>
      </c>
      <c r="Q20" s="237" t="s">
        <v>76</v>
      </c>
      <c r="R20" s="237" t="s">
        <v>236</v>
      </c>
      <c r="S20" s="391" t="str">
        <f>IFERROR(INDEX('G-1 All Habitats'!$B$3:$B$129,MATCH(R20,'G-1 All Habitats'!$A$3:$A$129,0)),"")</f>
        <v>Grassland - Other neutral grassland</v>
      </c>
      <c r="T20" s="497" t="str">
        <f t="shared" ca="1" si="1"/>
        <v>Medium - Medium</v>
      </c>
      <c r="U20" s="498" t="str">
        <f t="shared" ca="1" si="2"/>
        <v>Poor - Moderate</v>
      </c>
      <c r="V20" s="536">
        <f t="shared" si="3"/>
        <v>17.578199999999999</v>
      </c>
      <c r="W20" s="519" t="str">
        <f>IF(S20="","",VLOOKUP(S20,'G-1 All Habitats'!$B$2:$M$129,10,FALSE))</f>
        <v>Medium</v>
      </c>
      <c r="X20" s="519">
        <f>IFERROR(VLOOKUP(W20,'G-1 All Habitats'!$V$3:$W$7,2,FALSE),"")</f>
        <v>4</v>
      </c>
      <c r="Y20" s="79" t="s">
        <v>26</v>
      </c>
      <c r="Z20" s="523">
        <f>IFERROR(INDEX('G-8 Condition Look up'!$A$3:$H$130,MATCH(S20,'G-8 Condition Look up'!$A$3:$A$130,0),MATCH(Y20,'G-8 Condition Look up'!$A$3:$H$3,0)),"")</f>
        <v>2</v>
      </c>
      <c r="AA20" s="71" t="s">
        <v>231</v>
      </c>
      <c r="AB20" s="519" t="str">
        <f>IF(AA20="","",IF(VLOOKUP(AA20,'G-3 Multipliers'!$L$3:$N$6,2,FALSE)=0,"Spatial Data Missing ⚠",VLOOKUP(AA20,'G-3 Multipliers'!$L$3:$N$6,2,FALSE)))</f>
        <v xml:space="preserve">High strategic significance </v>
      </c>
      <c r="AC20" s="523">
        <f>IF(AA20="","",IF(VLOOKUP(AA20,'G-3 Multipliers'!$L$3:$N$6,3,FALSE)=0,"Spatial Data Missing ⚠",VLOOKUP(AA20,'G-3 Multipliers'!$L$3:$N$6,3,FALSE)))</f>
        <v>1.1499999999999999</v>
      </c>
      <c r="AD20" s="538">
        <f t="shared" ca="1" si="0"/>
        <v>10</v>
      </c>
      <c r="AE20" s="82">
        <v>0</v>
      </c>
      <c r="AF20" s="82">
        <v>0</v>
      </c>
      <c r="AG20" s="506" t="str">
        <f t="shared" ca="1" si="4"/>
        <v>Standard time to target condition applied</v>
      </c>
      <c r="AH20" s="520">
        <f t="shared" ca="1" si="5"/>
        <v>10</v>
      </c>
      <c r="AI20" s="521">
        <f ca="1">IF(AH20="Check Data","Check Data",IFERROR(VLOOKUP(AH20,'G-4 Temporal multipliers'!$A$4:$C$36,3,FALSE),""))</f>
        <v>0.70028227419999989</v>
      </c>
      <c r="AJ20" s="497" t="str">
        <f>IF(S20="","",VLOOKUP(S20,'G-3 Multipliers'!$A$2:$E$129,4,FALSE))</f>
        <v>Low</v>
      </c>
      <c r="AK20" s="506" t="str">
        <f t="shared" ca="1" si="6"/>
        <v>Standard difficulty applied</v>
      </c>
      <c r="AL20" s="506" t="str">
        <f t="shared" ca="1" si="7"/>
        <v>Low</v>
      </c>
      <c r="AM20" s="539">
        <f ca="1">IFERROR(IF(F20="","",IF(AH20="Check Data ⚠","Check Data ⚠",VLOOKUP(AL20, 'G-3 Multipliers'!$P$2:$Q$6,2,FALSE))),"")</f>
        <v>1</v>
      </c>
      <c r="AN20" s="512">
        <f t="shared" ca="1" si="8"/>
        <v>137.48434861277519</v>
      </c>
      <c r="AO20" s="238"/>
      <c r="AP20" s="239"/>
    </row>
    <row r="21" spans="1:42" ht="42.75" x14ac:dyDescent="0.2">
      <c r="A21" s="47" t="str">
        <f ca="1">IF(E21="","",IF(ISNA(VLOOKUP($E21,'A-1 Site Habitat Baseline'!$D$1:$O$258,2,FALSE)),"",(VLOOKUP($E21,'A-1 Site Habitat Baseline'!$D$1:$O$258,2,FALSE))))</f>
        <v>Lakes</v>
      </c>
      <c r="B21" s="47" t="str">
        <f ca="1">IF(E21="","",IF(ISNA(VLOOKUP($E21,'A-1 Site Habitat Baseline'!$D$1:$O$258,3,FALSE)),"",(VLOOKUP($E21,'A-1 Site Habitat Baseline'!$D$1:$O$258,3,FALSE))))</f>
        <v>Ponds (Non- Priority Habitat)</v>
      </c>
      <c r="C21" s="47" t="str">
        <f>IFERROR(INDEX('G-8 Condition Look up'!$I$4:$I$130,MATCH(S21,'G-8 Condition Look up'!$A$4:$A$130,0)),"")</f>
        <v>Cond4</v>
      </c>
      <c r="E21" s="530">
        <f>'A-1 Site Habitat Baseline'!AL20</f>
        <v>12</v>
      </c>
      <c r="F21" s="519" t="str">
        <f ca="1">IF(E21="","",IF(ISNA(VLOOKUP($E21,'A-1 Site Habitat Baseline'!$D$1:$O$258,4,FALSE)),"",(VLOOKUP($E21,'A-1 Site Habitat Baseline'!$D$1:$O$258,4,FALSE))))</f>
        <v>Lakes - Ponds (Non- Priority Habitat)</v>
      </c>
      <c r="G21" s="519">
        <f ca="1">IF(E21="","",IF(ISNA(VLOOKUP($E21,'A-1 Site Habitat Baseline'!$D$1:$O$258,5,FALSE)),"",(VLOOKUP($E21,'A-1 Site Habitat Baseline'!$D$1:$O$258,5,FALSE))))</f>
        <v>4.36E-2</v>
      </c>
      <c r="H21" s="519" t="str">
        <f ca="1">IF(E21="","",IF(ISNA(VLOOKUP($E21,'A-1 Site Habitat Baseline'!$D$1:$O$258,6,FALSE)),"",(VLOOKUP($E21,'A-1 Site Habitat Baseline'!$D$1:$O$258,6,FALSE))))</f>
        <v>Medium</v>
      </c>
      <c r="I21" s="519">
        <f ca="1">IF(E21="","",IF(ISNA(VLOOKUP($E21,'A-1 Site Habitat Baseline'!$D$1:$O$258,7,FALSE)),"",(VLOOKUP($E21,'A-1 Site Habitat Baseline'!$D$1:$O$258,7,FALSE))))</f>
        <v>4</v>
      </c>
      <c r="J21" s="519" t="str">
        <f ca="1">IF(E21="","",IF(ISNA(VLOOKUP($E21,'A-1 Site Habitat Baseline'!$D$1:$O$258,8,FALSE)),"",(VLOOKUP($E21,'A-1 Site Habitat Baseline'!$D$1:$O$258,8,FALSE))))</f>
        <v>Moderate</v>
      </c>
      <c r="K21" s="519">
        <f ca="1">IF(E21="","",IF(ISNA(VLOOKUP($E21,'A-1 Site Habitat Baseline'!$D$1:$O$258,9,FALSE)),"",(VLOOKUP($E21,'A-1 Site Habitat Baseline'!$D$1:$O$258,9,FALSE))))</f>
        <v>2</v>
      </c>
      <c r="L21" s="519" t="str">
        <f ca="1">IF(E21="","",IF(ISNA(VLOOKUP($E21,'A-1 Site Habitat Baseline'!$D$1:$O$258,11,FALSE)),"",(VLOOKUP($E21,'A-1 Site Habitat Baseline'!$D$1:$O$258,11,FALSE))))</f>
        <v xml:space="preserve">High strategic significance </v>
      </c>
      <c r="M21" s="519">
        <f ca="1">IF(E21="","",IF(ISNA(VLOOKUP($E21,'A-1 Site Habitat Baseline'!$D$1:$O$258,12,FALSE)),"",(VLOOKUP($E21,'A-1 Site Habitat Baseline'!$D$1:$O$258,12,FALSE))))</f>
        <v>1.1499999999999999</v>
      </c>
      <c r="N21" s="531">
        <f ca="1">IF(E21="","",IF(ISNA(VLOOKUP($E21,'A-1 Site Habitat Baseline'!$D$1:$X$258,14,FALSE)),"",(VLOOKUP($E21,'A-1 Site Habitat Baseline'!$D$1:$X$258,14,FALSE))))</f>
        <v>0.40111999999999998</v>
      </c>
      <c r="O21" s="523" t="str">
        <f ca="1">IF(E21="","",IF(ISNA(VLOOKUP($E21,'A-1 Site Habitat Baseline'!$D$1:$X$258,16,FALSE)),"",(VLOOKUP($E21,'A-1 Site Habitat Baseline'!$D$1:$X$258,13,FALSE))))</f>
        <v>Same broad habitat or a higher distinctiveness habitat required (≥)</v>
      </c>
      <c r="P21" s="236" t="str">
        <f>IFERROR(INDEX('G-1 All Habitats'!$AG$3:$AG$15,MATCH(Q21,'G-1 All Habitats'!$AF$3:$AF$15,0)),"")</f>
        <v>Lakes</v>
      </c>
      <c r="Q21" s="237" t="s">
        <v>78</v>
      </c>
      <c r="R21" s="237" t="s">
        <v>239</v>
      </c>
      <c r="S21" s="391" t="str">
        <f>IFERROR(INDEX('G-1 All Habitats'!$B$3:$B$129,MATCH(R21,'G-1 All Habitats'!$A$3:$A$129,0)),"")</f>
        <v>Lakes - Ponds (Non- Priority Habitat)</v>
      </c>
      <c r="T21" s="497" t="str">
        <f t="shared" ca="1" si="1"/>
        <v>Medium - Medium</v>
      </c>
      <c r="U21" s="498" t="str">
        <f t="shared" ca="1" si="2"/>
        <v>Moderate - Good</v>
      </c>
      <c r="V21" s="536">
        <f t="shared" si="3"/>
        <v>4.36E-2</v>
      </c>
      <c r="W21" s="519" t="str">
        <f>IF(S21="","",VLOOKUP(S21,'G-1 All Habitats'!$B$2:$M$129,10,FALSE))</f>
        <v>Medium</v>
      </c>
      <c r="X21" s="519">
        <f>IFERROR(VLOOKUP(W21,'G-1 All Habitats'!$V$3:$W$7,2,FALSE),"")</f>
        <v>4</v>
      </c>
      <c r="Y21" s="79" t="s">
        <v>27</v>
      </c>
      <c r="Z21" s="523">
        <f>IFERROR(INDEX('G-8 Condition Look up'!$A$3:$H$130,MATCH(S21,'G-8 Condition Look up'!$A$3:$A$130,0),MATCH(Y21,'G-8 Condition Look up'!$A$3:$H$3,0)),"")</f>
        <v>3</v>
      </c>
      <c r="AA21" s="71" t="s">
        <v>231</v>
      </c>
      <c r="AB21" s="519" t="str">
        <f>IF(AA21="","",IF(VLOOKUP(AA21,'G-3 Multipliers'!$L$3:$N$6,2,FALSE)=0,"Spatial Data Missing ⚠",VLOOKUP(AA21,'G-3 Multipliers'!$L$3:$N$6,2,FALSE)))</f>
        <v xml:space="preserve">High strategic significance </v>
      </c>
      <c r="AC21" s="523">
        <f>IF(AA21="","",IF(VLOOKUP(AA21,'G-3 Multipliers'!$L$3:$N$6,3,FALSE)=0,"Spatial Data Missing ⚠",VLOOKUP(AA21,'G-3 Multipliers'!$L$3:$N$6,3,FALSE)))</f>
        <v>1.1499999999999999</v>
      </c>
      <c r="AD21" s="538">
        <f t="shared" ca="1" si="0"/>
        <v>4</v>
      </c>
      <c r="AE21" s="82">
        <v>0</v>
      </c>
      <c r="AF21" s="82">
        <v>0</v>
      </c>
      <c r="AG21" s="506" t="str">
        <f t="shared" ca="1" si="4"/>
        <v>Standard time to target condition applied</v>
      </c>
      <c r="AH21" s="520">
        <f t="shared" ca="1" si="5"/>
        <v>4</v>
      </c>
      <c r="AI21" s="521">
        <f ca="1">IF(AH21="Check Data","Check Data",IFERROR(VLOOKUP(AH21,'G-4 Temporal multipliers'!$A$4:$C$36,3,FALSE),""))</f>
        <v>0.86718000059999989</v>
      </c>
      <c r="AJ21" s="497" t="str">
        <f>IF(S21="","",VLOOKUP(S21,'G-3 Multipliers'!$A$2:$E$129,4,FALSE))</f>
        <v>Medium</v>
      </c>
      <c r="AK21" s="506" t="str">
        <f t="shared" ca="1" si="6"/>
        <v>Standard difficulty applied</v>
      </c>
      <c r="AL21" s="506" t="str">
        <f t="shared" ca="1" si="7"/>
        <v>Medium</v>
      </c>
      <c r="AM21" s="539">
        <f ca="1">IFERROR(IF(F21="","",IF(AH21="Check Data ⚠","Check Data ⚠",VLOOKUP(AL21, 'G-3 Multipliers'!$P$2:$Q$6,2,FALSE))),"")</f>
        <v>0.67</v>
      </c>
      <c r="AN21" s="512">
        <f t="shared" ca="1" si="8"/>
        <v>0.51764748601662514</v>
      </c>
      <c r="AO21" s="238"/>
      <c r="AP21" s="239"/>
    </row>
    <row r="22" spans="1:42" ht="28.5" x14ac:dyDescent="0.2">
      <c r="A22" s="47" t="str">
        <f ca="1">IF(E22="","",IF(ISNA(VLOOKUP($E22,'A-1 Site Habitat Baseline'!$D$1:$O$258,2,FALSE)),"",(VLOOKUP($E22,'A-1 Site Habitat Baseline'!$D$1:$O$258,2,FALSE))))</f>
        <v>Urban</v>
      </c>
      <c r="B22" s="47" t="str">
        <f ca="1">IF(E22="","",IF(ISNA(VLOOKUP($E22,'A-1 Site Habitat Baseline'!$D$1:$O$258,3,FALSE)),"",(VLOOKUP($E22,'A-1 Site Habitat Baseline'!$D$1:$O$258,3,FALSE))))</f>
        <v>Open Mosaic Habitats on Previously Developed Land</v>
      </c>
      <c r="C22" s="47" t="str">
        <f>IFERROR(INDEX('G-8 Condition Look up'!$I$4:$I$130,MATCH(S22,'G-8 Condition Look up'!$A$4:$A$130,0)),"")</f>
        <v>Cond4</v>
      </c>
      <c r="E22" s="530">
        <f>'A-1 Site Habitat Baseline'!AL21</f>
        <v>16</v>
      </c>
      <c r="F22" s="519" t="str">
        <f ca="1">IF(E22="","",IF(ISNA(VLOOKUP($E22,'A-1 Site Habitat Baseline'!$D$1:$O$258,4,FALSE)),"",(VLOOKUP($E22,'A-1 Site Habitat Baseline'!$D$1:$O$258,4,FALSE))))</f>
        <v>Urban - Open Mosaic Habitats on Previously Developed Land</v>
      </c>
      <c r="G22" s="519">
        <f ca="1">IF(E22="","",IF(ISNA(VLOOKUP($E22,'A-1 Site Habitat Baseline'!$D$1:$O$258,5,FALSE)),"",(VLOOKUP($E22,'A-1 Site Habitat Baseline'!$D$1:$O$258,5,FALSE))))</f>
        <v>9.3899999999999997E-2</v>
      </c>
      <c r="H22" s="519" t="str">
        <f ca="1">IF(E22="","",IF(ISNA(VLOOKUP($E22,'A-1 Site Habitat Baseline'!$D$1:$O$258,6,FALSE)),"",(VLOOKUP($E22,'A-1 Site Habitat Baseline'!$D$1:$O$258,6,FALSE))))</f>
        <v>High</v>
      </c>
      <c r="I22" s="519">
        <f ca="1">IF(E22="","",IF(ISNA(VLOOKUP($E22,'A-1 Site Habitat Baseline'!$D$1:$O$258,7,FALSE)),"",(VLOOKUP($E22,'A-1 Site Habitat Baseline'!$D$1:$O$258,7,FALSE))))</f>
        <v>6</v>
      </c>
      <c r="J22" s="519" t="str">
        <f ca="1">IF(E22="","",IF(ISNA(VLOOKUP($E22,'A-1 Site Habitat Baseline'!$D$1:$O$258,8,FALSE)),"",(VLOOKUP($E22,'A-1 Site Habitat Baseline'!$D$1:$O$258,8,FALSE))))</f>
        <v>Moderate</v>
      </c>
      <c r="K22" s="519">
        <f ca="1">IF(E22="","",IF(ISNA(VLOOKUP($E22,'A-1 Site Habitat Baseline'!$D$1:$O$258,9,FALSE)),"",(VLOOKUP($E22,'A-1 Site Habitat Baseline'!$D$1:$O$258,9,FALSE))))</f>
        <v>2</v>
      </c>
      <c r="L22" s="519" t="str">
        <f ca="1">IF(E22="","",IF(ISNA(VLOOKUP($E22,'A-1 Site Habitat Baseline'!$D$1:$O$258,11,FALSE)),"",(VLOOKUP($E22,'A-1 Site Habitat Baseline'!$D$1:$O$258,11,FALSE))))</f>
        <v xml:space="preserve">High strategic significance </v>
      </c>
      <c r="M22" s="519">
        <f ca="1">IF(E22="","",IF(ISNA(VLOOKUP($E22,'A-1 Site Habitat Baseline'!$D$1:$O$258,12,FALSE)),"",(VLOOKUP($E22,'A-1 Site Habitat Baseline'!$D$1:$O$258,12,FALSE))))</f>
        <v>1.1499999999999999</v>
      </c>
      <c r="N22" s="531">
        <f ca="1">IF(E22="","",IF(ISNA(VLOOKUP($E22,'A-1 Site Habitat Baseline'!$D$1:$X$258,14,FALSE)),"",(VLOOKUP($E22,'A-1 Site Habitat Baseline'!$D$1:$X$258,14,FALSE))))</f>
        <v>1.29582</v>
      </c>
      <c r="O22" s="523" t="str">
        <f ca="1">IF(E22="","",IF(ISNA(VLOOKUP($E22,'A-1 Site Habitat Baseline'!$D$1:$X$258,16,FALSE)),"",(VLOOKUP($E22,'A-1 Site Habitat Baseline'!$D$1:$X$258,13,FALSE))))</f>
        <v>Same habitat required =</v>
      </c>
      <c r="P22" s="236" t="str">
        <f>IFERROR(INDEX('G-1 All Habitats'!$AG$3:$AG$15,MATCH(Q22,'G-1 All Habitats'!$AF$3:$AF$15,0)),"")</f>
        <v>Grassland</v>
      </c>
      <c r="Q22" s="237" t="s">
        <v>76</v>
      </c>
      <c r="R22" s="237" t="s">
        <v>266</v>
      </c>
      <c r="S22" s="391" t="str">
        <f>IFERROR(INDEX('G-1 All Habitats'!$B$3:$B$129,MATCH(R22,'G-1 All Habitats'!$A$3:$A$129,0)),"")</f>
        <v>Grassland - Traditional orchards</v>
      </c>
      <c r="T22" s="497" t="str">
        <f t="shared" ca="1" si="1"/>
        <v>Error - Trading rules not satisfied ▲</v>
      </c>
      <c r="U22" s="498" t="str">
        <f t="shared" ca="1" si="2"/>
        <v>Moderate - Good</v>
      </c>
      <c r="V22" s="536">
        <f t="shared" si="3"/>
        <v>9.3899999999999997E-2</v>
      </c>
      <c r="W22" s="519" t="str">
        <f>IF(S22="","",VLOOKUP(S22,'G-1 All Habitats'!$B$2:$M$129,10,FALSE))</f>
        <v>High</v>
      </c>
      <c r="X22" s="519">
        <f>IFERROR(VLOOKUP(W22,'G-1 All Habitats'!$V$3:$W$7,2,FALSE),"")</f>
        <v>6</v>
      </c>
      <c r="Y22" s="79" t="s">
        <v>27</v>
      </c>
      <c r="Z22" s="523">
        <f>IFERROR(INDEX('G-8 Condition Look up'!$A$3:$H$130,MATCH(S22,'G-8 Condition Look up'!$A$3:$A$130,0),MATCH(Y22,'G-8 Condition Look up'!$A$3:$H$3,0)),"")</f>
        <v>3</v>
      </c>
      <c r="AA22" s="71" t="s">
        <v>231</v>
      </c>
      <c r="AB22" s="519" t="str">
        <f>IF(AA22="","",IF(VLOOKUP(AA22,'G-3 Multipliers'!$L$3:$N$6,2,FALSE)=0,"Spatial Data Missing ⚠",VLOOKUP(AA22,'G-3 Multipliers'!$L$3:$N$6,2,FALSE)))</f>
        <v xml:space="preserve">High strategic significance </v>
      </c>
      <c r="AC22" s="523">
        <f>IF(AA22="","",IF(VLOOKUP(AA22,'G-3 Multipliers'!$L$3:$N$6,3,FALSE)=0,"Spatial Data Missing ⚠",VLOOKUP(AA22,'G-3 Multipliers'!$L$3:$N$6,3,FALSE)))</f>
        <v>1.1499999999999999</v>
      </c>
      <c r="AD22" s="538">
        <f t="shared" ca="1" si="0"/>
        <v>10</v>
      </c>
      <c r="AE22" s="82">
        <v>0</v>
      </c>
      <c r="AF22" s="82">
        <v>0</v>
      </c>
      <c r="AG22" s="506" t="str">
        <f t="shared" ca="1" si="4"/>
        <v>Standard time to target condition applied</v>
      </c>
      <c r="AH22" s="520">
        <f t="shared" ca="1" si="5"/>
        <v>10</v>
      </c>
      <c r="AI22" s="521">
        <f ca="1">IF(AH22="Check Data","Check Data",IFERROR(VLOOKUP(AH22,'G-4 Temporal multipliers'!$A$4:$C$36,3,FALSE),""))</f>
        <v>0.70028227419999989</v>
      </c>
      <c r="AJ22" s="497" t="str">
        <f>IF(S22="","",VLOOKUP(S22,'G-3 Multipliers'!$A$2:$E$129,4,FALSE))</f>
        <v>Medium</v>
      </c>
      <c r="AK22" s="506" t="str">
        <f t="shared" ca="1" si="6"/>
        <v>Standard difficulty applied</v>
      </c>
      <c r="AL22" s="506" t="str">
        <f t="shared" ca="1" si="7"/>
        <v>Medium</v>
      </c>
      <c r="AM22" s="539">
        <f ca="1">IFERROR(IF(F22="","",IF(AH22="Check Data ⚠","Check Data ⚠",VLOOKUP(AL22, 'G-3 Multipliers'!$P$2:$Q$6,2,FALSE))),"")</f>
        <v>0.67</v>
      </c>
      <c r="AN22" s="512">
        <f t="shared" ca="1" si="8"/>
        <v>1.5998123251455376</v>
      </c>
      <c r="AO22" s="238"/>
      <c r="AP22" s="239"/>
    </row>
    <row r="23" spans="1:42" ht="28.5" x14ac:dyDescent="0.2">
      <c r="A23" s="47" t="str">
        <f ca="1">IF(E23="","",IF(ISNA(VLOOKUP($E23,'A-1 Site Habitat Baseline'!$D$1:$O$258,2,FALSE)),"",(VLOOKUP($E23,'A-1 Site Habitat Baseline'!$D$1:$O$258,2,FALSE))))</f>
        <v>Woodland and forest</v>
      </c>
      <c r="B23" s="47" t="str">
        <f ca="1">IF(E23="","",IF(ISNA(VLOOKUP($E23,'A-1 Site Habitat Baseline'!$D$1:$O$258,3,FALSE)),"",(VLOOKUP($E23,'A-1 Site Habitat Baseline'!$D$1:$O$258,3,FALSE))))</f>
        <v>Lowland mixed deciduous woodland</v>
      </c>
      <c r="C23" s="47" t="str">
        <f>IFERROR(INDEX('G-8 Condition Look up'!$I$4:$I$130,MATCH(S23,'G-8 Condition Look up'!$A$4:$A$130,0)),"")</f>
        <v>Cond4</v>
      </c>
      <c r="E23" s="530">
        <f>'A-1 Site Habitat Baseline'!AL22</f>
        <v>18</v>
      </c>
      <c r="F23" s="519" t="str">
        <f ca="1">IF(E23="","",IF(ISNA(VLOOKUP($E23,'A-1 Site Habitat Baseline'!$D$1:$O$258,4,FALSE)),"",(VLOOKUP($E23,'A-1 Site Habitat Baseline'!$D$1:$O$258,4,FALSE))))</f>
        <v>Woodland and forest - Lowland mixed deciduous woodland</v>
      </c>
      <c r="G23" s="519">
        <f ca="1">IF(E23="","",IF(ISNA(VLOOKUP($E23,'A-1 Site Habitat Baseline'!$D$1:$O$258,5,FALSE)),"",(VLOOKUP($E23,'A-1 Site Habitat Baseline'!$D$1:$O$258,5,FALSE))))</f>
        <v>2.2900999999999998</v>
      </c>
      <c r="H23" s="519" t="str">
        <f ca="1">IF(E23="","",IF(ISNA(VLOOKUP($E23,'A-1 Site Habitat Baseline'!$D$1:$O$258,6,FALSE)),"",(VLOOKUP($E23,'A-1 Site Habitat Baseline'!$D$1:$O$258,6,FALSE))))</f>
        <v>High</v>
      </c>
      <c r="I23" s="519">
        <f ca="1">IF(E23="","",IF(ISNA(VLOOKUP($E23,'A-1 Site Habitat Baseline'!$D$1:$O$258,7,FALSE)),"",(VLOOKUP($E23,'A-1 Site Habitat Baseline'!$D$1:$O$258,7,FALSE))))</f>
        <v>6</v>
      </c>
      <c r="J23" s="519" t="str">
        <f ca="1">IF(E23="","",IF(ISNA(VLOOKUP($E23,'A-1 Site Habitat Baseline'!$D$1:$O$258,8,FALSE)),"",(VLOOKUP($E23,'A-1 Site Habitat Baseline'!$D$1:$O$258,8,FALSE))))</f>
        <v>Moderate</v>
      </c>
      <c r="K23" s="519">
        <f ca="1">IF(E23="","",IF(ISNA(VLOOKUP($E23,'A-1 Site Habitat Baseline'!$D$1:$O$258,9,FALSE)),"",(VLOOKUP($E23,'A-1 Site Habitat Baseline'!$D$1:$O$258,9,FALSE))))</f>
        <v>2</v>
      </c>
      <c r="L23" s="519" t="str">
        <f ca="1">IF(E23="","",IF(ISNA(VLOOKUP($E23,'A-1 Site Habitat Baseline'!$D$1:$O$258,11,FALSE)),"",(VLOOKUP($E23,'A-1 Site Habitat Baseline'!$D$1:$O$258,11,FALSE))))</f>
        <v xml:space="preserve">High strategic significance </v>
      </c>
      <c r="M23" s="519">
        <f ca="1">IF(E23="","",IF(ISNA(VLOOKUP($E23,'A-1 Site Habitat Baseline'!$D$1:$O$258,12,FALSE)),"",(VLOOKUP($E23,'A-1 Site Habitat Baseline'!$D$1:$O$258,12,FALSE))))</f>
        <v>1.1499999999999999</v>
      </c>
      <c r="N23" s="531">
        <f ca="1">IF(E23="","",IF(ISNA(VLOOKUP($E23,'A-1 Site Habitat Baseline'!$D$1:$X$258,14,FALSE)),"",(VLOOKUP($E23,'A-1 Site Habitat Baseline'!$D$1:$X$258,14,FALSE))))</f>
        <v>31.603379999999994</v>
      </c>
      <c r="O23" s="523" t="str">
        <f ca="1">IF(E23="","",IF(ISNA(VLOOKUP($E23,'A-1 Site Habitat Baseline'!$D$1:$X$258,16,FALSE)),"",(VLOOKUP($E23,'A-1 Site Habitat Baseline'!$D$1:$X$258,13,FALSE))))</f>
        <v>Same habitat required =</v>
      </c>
      <c r="P23" s="236" t="str">
        <f>IFERROR(INDEX('G-1 All Habitats'!$AG$3:$AG$15,MATCH(Q23,'G-1 All Habitats'!$AF$3:$AF$15,0)),"")</f>
        <v>Woodland_and_forest</v>
      </c>
      <c r="Q23" s="237" t="s">
        <v>82</v>
      </c>
      <c r="R23" s="237" t="s">
        <v>244</v>
      </c>
      <c r="S23" s="391" t="str">
        <f>IFERROR(INDEX('G-1 All Habitats'!$B$3:$B$129,MATCH(R23,'G-1 All Habitats'!$A$3:$A$129,0)),"")</f>
        <v>Woodland and forest - Lowland mixed deciduous woodland</v>
      </c>
      <c r="T23" s="497" t="str">
        <f t="shared" ca="1" si="1"/>
        <v>High - High</v>
      </c>
      <c r="U23" s="498" t="str">
        <f t="shared" ca="1" si="2"/>
        <v>Moderate - Good</v>
      </c>
      <c r="V23" s="536">
        <f t="shared" si="3"/>
        <v>2.2900999999999998</v>
      </c>
      <c r="W23" s="519" t="str">
        <f>IF(S23="","",VLOOKUP(S23,'G-1 All Habitats'!$B$2:$M$129,10,FALSE))</f>
        <v>High</v>
      </c>
      <c r="X23" s="519">
        <f>IFERROR(VLOOKUP(W23,'G-1 All Habitats'!$V$3:$W$7,2,FALSE),"")</f>
        <v>6</v>
      </c>
      <c r="Y23" s="79" t="s">
        <v>27</v>
      </c>
      <c r="Z23" s="523">
        <f>IFERROR(INDEX('G-8 Condition Look up'!$A$3:$H$130,MATCH(S23,'G-8 Condition Look up'!$A$3:$A$130,0),MATCH(Y23,'G-8 Condition Look up'!$A$3:$H$3,0)),"")</f>
        <v>3</v>
      </c>
      <c r="AA23" s="71" t="s">
        <v>231</v>
      </c>
      <c r="AB23" s="519" t="str">
        <f>IF(AA23="","",IF(VLOOKUP(AA23,'G-3 Multipliers'!$L$3:$N$6,2,FALSE)=0,"Spatial Data Missing ⚠",VLOOKUP(AA23,'G-3 Multipliers'!$L$3:$N$6,2,FALSE)))</f>
        <v xml:space="preserve">High strategic significance </v>
      </c>
      <c r="AC23" s="523">
        <f>IF(AA23="","",IF(VLOOKUP(AA23,'G-3 Multipliers'!$L$3:$N$6,3,FALSE)=0,"Spatial Data Missing ⚠",VLOOKUP(AA23,'G-3 Multipliers'!$L$3:$N$6,3,FALSE)))</f>
        <v>1.1499999999999999</v>
      </c>
      <c r="AD23" s="538">
        <f t="shared" ca="1" si="0"/>
        <v>20</v>
      </c>
      <c r="AE23" s="82">
        <v>0</v>
      </c>
      <c r="AF23" s="82">
        <v>0</v>
      </c>
      <c r="AG23" s="506" t="str">
        <f t="shared" ca="1" si="4"/>
        <v>Standard time to target condition applied</v>
      </c>
      <c r="AH23" s="520">
        <f t="shared" ca="1" si="5"/>
        <v>20</v>
      </c>
      <c r="AI23" s="521">
        <f ca="1">IF(AH23="Check Data","Check Data",IFERROR(VLOOKUP(AH23,'G-4 Temporal multipliers'!$A$4:$C$36,3,FALSE),""))</f>
        <v>0.49039526350000001</v>
      </c>
      <c r="AJ23" s="497" t="str">
        <f>IF(S23="","",VLOOKUP(S23,'G-3 Multipliers'!$A$2:$E$129,4,FALSE))</f>
        <v>High</v>
      </c>
      <c r="AK23" s="506" t="str">
        <f t="shared" ca="1" si="6"/>
        <v>Standard difficulty applied</v>
      </c>
      <c r="AL23" s="506" t="str">
        <f t="shared" ca="1" si="7"/>
        <v>High</v>
      </c>
      <c r="AM23" s="539">
        <f ca="1">IFERROR(IF(F23="","",IF(AH23="Check Data ⚠","Check Data ⚠",VLOOKUP(AL23, 'G-3 Multipliers'!$P$2:$Q$6,2,FALSE))),"")</f>
        <v>0.33</v>
      </c>
      <c r="AN23" s="512">
        <f t="shared" ca="1" si="8"/>
        <v>34.160574397327451</v>
      </c>
      <c r="AO23" s="238"/>
      <c r="AP23" s="239"/>
    </row>
    <row r="24" spans="1:42" ht="42.75" x14ac:dyDescent="0.2">
      <c r="A24" s="47" t="str">
        <f ca="1">IF(E24="","",IF(ISNA(VLOOKUP($E24,'A-1 Site Habitat Baseline'!$D$1:$O$258,2,FALSE)),"",(VLOOKUP($E24,'A-1 Site Habitat Baseline'!$D$1:$O$258,2,FALSE))))</f>
        <v>Woodland and forest</v>
      </c>
      <c r="B24" s="47" t="str">
        <f ca="1">IF(E24="","",IF(ISNA(VLOOKUP($E24,'A-1 Site Habitat Baseline'!$D$1:$O$258,3,FALSE)),"",(VLOOKUP($E24,'A-1 Site Habitat Baseline'!$D$1:$O$258,3,FALSE))))</f>
        <v>Other woodland; broadleaved</v>
      </c>
      <c r="C24" s="47" t="str">
        <f>IFERROR(INDEX('G-8 Condition Look up'!$I$4:$I$130,MATCH(S24,'G-8 Condition Look up'!$A$4:$A$130,0)),"")</f>
        <v>Cond4</v>
      </c>
      <c r="E24" s="530">
        <f>'A-1 Site Habitat Baseline'!AL23</f>
        <v>19</v>
      </c>
      <c r="F24" s="519" t="str">
        <f ca="1">IF(E24="","",IF(ISNA(VLOOKUP($E24,'A-1 Site Habitat Baseline'!$D$1:$O$258,4,FALSE)),"",(VLOOKUP($E24,'A-1 Site Habitat Baseline'!$D$1:$O$258,4,FALSE))))</f>
        <v>Woodland and forest - Other woodland; broadleaved</v>
      </c>
      <c r="G24" s="519">
        <f ca="1">IF(E24="","",IF(ISNA(VLOOKUP($E24,'A-1 Site Habitat Baseline'!$D$1:$O$258,5,FALSE)),"",(VLOOKUP($E24,'A-1 Site Habitat Baseline'!$D$1:$O$258,5,FALSE))))</f>
        <v>1.2326999999999999</v>
      </c>
      <c r="H24" s="519" t="str">
        <f ca="1">IF(E24="","",IF(ISNA(VLOOKUP($E24,'A-1 Site Habitat Baseline'!$D$1:$O$258,6,FALSE)),"",(VLOOKUP($E24,'A-1 Site Habitat Baseline'!$D$1:$O$258,6,FALSE))))</f>
        <v>Medium</v>
      </c>
      <c r="I24" s="519">
        <f ca="1">IF(E24="","",IF(ISNA(VLOOKUP($E24,'A-1 Site Habitat Baseline'!$D$1:$O$258,7,FALSE)),"",(VLOOKUP($E24,'A-1 Site Habitat Baseline'!$D$1:$O$258,7,FALSE))))</f>
        <v>4</v>
      </c>
      <c r="J24" s="519" t="str">
        <f ca="1">IF(E24="","",IF(ISNA(VLOOKUP($E24,'A-1 Site Habitat Baseline'!$D$1:$O$258,8,FALSE)),"",(VLOOKUP($E24,'A-1 Site Habitat Baseline'!$D$1:$O$258,8,FALSE))))</f>
        <v>Moderate</v>
      </c>
      <c r="K24" s="519">
        <f ca="1">IF(E24="","",IF(ISNA(VLOOKUP($E24,'A-1 Site Habitat Baseline'!$D$1:$O$258,9,FALSE)),"",(VLOOKUP($E24,'A-1 Site Habitat Baseline'!$D$1:$O$258,9,FALSE))))</f>
        <v>2</v>
      </c>
      <c r="L24" s="519" t="str">
        <f ca="1">IF(E24="","",IF(ISNA(VLOOKUP($E24,'A-1 Site Habitat Baseline'!$D$1:$O$258,11,FALSE)),"",(VLOOKUP($E24,'A-1 Site Habitat Baseline'!$D$1:$O$258,11,FALSE))))</f>
        <v xml:space="preserve">High strategic significance </v>
      </c>
      <c r="M24" s="519">
        <f ca="1">IF(E24="","",IF(ISNA(VLOOKUP($E24,'A-1 Site Habitat Baseline'!$D$1:$O$258,12,FALSE)),"",(VLOOKUP($E24,'A-1 Site Habitat Baseline'!$D$1:$O$258,12,FALSE))))</f>
        <v>1.1499999999999999</v>
      </c>
      <c r="N24" s="531">
        <f ca="1">IF(E24="","",IF(ISNA(VLOOKUP($E24,'A-1 Site Habitat Baseline'!$D$1:$X$258,14,FALSE)),"",(VLOOKUP($E24,'A-1 Site Habitat Baseline'!$D$1:$X$258,14,FALSE))))</f>
        <v>11.340839999999998</v>
      </c>
      <c r="O24" s="523" t="str">
        <f ca="1">IF(E24="","",IF(ISNA(VLOOKUP($E24,'A-1 Site Habitat Baseline'!$D$1:$X$258,16,FALSE)),"",(VLOOKUP($E24,'A-1 Site Habitat Baseline'!$D$1:$X$258,13,FALSE))))</f>
        <v>Same broad habitat or a higher distinctiveness habitat required (≥)</v>
      </c>
      <c r="P24" s="236" t="str">
        <f>IFERROR(INDEX('G-1 All Habitats'!$AG$3:$AG$15,MATCH(Q24,'G-1 All Habitats'!$AF$3:$AF$15,0)),"")</f>
        <v>Woodland_and_forest</v>
      </c>
      <c r="Q24" s="237" t="s">
        <v>82</v>
      </c>
      <c r="R24" s="237" t="s">
        <v>245</v>
      </c>
      <c r="S24" s="391" t="str">
        <f>IFERROR(INDEX('G-1 All Habitats'!$B$3:$B$129,MATCH(R24,'G-1 All Habitats'!$A$3:$A$129,0)),"")</f>
        <v>Woodland and forest - Other woodland; broadleaved</v>
      </c>
      <c r="T24" s="497" t="str">
        <f t="shared" ca="1" si="1"/>
        <v>Medium - Medium</v>
      </c>
      <c r="U24" s="498" t="str">
        <f t="shared" ca="1" si="2"/>
        <v>Moderate - Good</v>
      </c>
      <c r="V24" s="536">
        <f t="shared" si="3"/>
        <v>1.2326999999999999</v>
      </c>
      <c r="W24" s="519" t="str">
        <f>IF(S24="","",VLOOKUP(S24,'G-1 All Habitats'!$B$2:$M$129,10,FALSE))</f>
        <v>Medium</v>
      </c>
      <c r="X24" s="519">
        <f>IFERROR(VLOOKUP(W24,'G-1 All Habitats'!$V$3:$W$7,2,FALSE),"")</f>
        <v>4</v>
      </c>
      <c r="Y24" s="79" t="s">
        <v>27</v>
      </c>
      <c r="Z24" s="523">
        <f>IFERROR(INDEX('G-8 Condition Look up'!$A$3:$H$130,MATCH(S24,'G-8 Condition Look up'!$A$3:$A$130,0),MATCH(Y24,'G-8 Condition Look up'!$A$3:$H$3,0)),"")</f>
        <v>3</v>
      </c>
      <c r="AA24" s="71" t="s">
        <v>231</v>
      </c>
      <c r="AB24" s="519" t="str">
        <f>IF(AA24="","",IF(VLOOKUP(AA24,'G-3 Multipliers'!$L$3:$N$6,2,FALSE)=0,"Spatial Data Missing ⚠",VLOOKUP(AA24,'G-3 Multipliers'!$L$3:$N$6,2,FALSE)))</f>
        <v xml:space="preserve">High strategic significance </v>
      </c>
      <c r="AC24" s="523">
        <f>IF(AA24="","",IF(VLOOKUP(AA24,'G-3 Multipliers'!$L$3:$N$6,3,FALSE)=0,"Spatial Data Missing ⚠",VLOOKUP(AA24,'G-3 Multipliers'!$L$3:$N$6,3,FALSE)))</f>
        <v>1.1499999999999999</v>
      </c>
      <c r="AD24" s="538">
        <f t="shared" ca="1" si="0"/>
        <v>10</v>
      </c>
      <c r="AE24" s="82">
        <v>0</v>
      </c>
      <c r="AF24" s="82">
        <v>0</v>
      </c>
      <c r="AG24" s="506" t="str">
        <f t="shared" ca="1" si="4"/>
        <v>Standard time to target condition applied</v>
      </c>
      <c r="AH24" s="520">
        <f t="shared" ca="1" si="5"/>
        <v>10</v>
      </c>
      <c r="AI24" s="521">
        <f ca="1">IF(AH24="Check Data","Check Data",IFERROR(VLOOKUP(AH24,'G-4 Temporal multipliers'!$A$4:$C$36,3,FALSE),""))</f>
        <v>0.70028227419999989</v>
      </c>
      <c r="AJ24" s="497" t="str">
        <f>IF(S24="","",VLOOKUP(S24,'G-3 Multipliers'!$A$2:$E$129,4,FALSE))</f>
        <v>Low</v>
      </c>
      <c r="AK24" s="506" t="str">
        <f t="shared" ca="1" si="6"/>
        <v>Standard difficulty applied</v>
      </c>
      <c r="AL24" s="506" t="str">
        <f t="shared" ca="1" si="7"/>
        <v>Low</v>
      </c>
      <c r="AM24" s="539">
        <f ca="1">IFERROR(IF(F24="","",IF(AH24="Check Data ⚠","Check Data ⚠",VLOOKUP(AL24, 'G-3 Multipliers'!$P$2:$Q$6,2,FALSE))),"")</f>
        <v>1</v>
      </c>
      <c r="AN24" s="512">
        <f t="shared" ca="1" si="8"/>
        <v>15.311734613269161</v>
      </c>
      <c r="AO24" s="238"/>
      <c r="AP24" s="239"/>
    </row>
    <row r="25" spans="1:42" x14ac:dyDescent="0.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c r="R25" s="237"/>
      <c r="S25" s="391" t="str">
        <f>IFERROR(INDEX('G-1 All Habitats'!$B$3:$B$129,MATCH(R25,'G-1 All Habitats'!$A$3:$A$129,0)),"")</f>
        <v/>
      </c>
      <c r="T25" s="497" t="str">
        <f t="shared" si="1"/>
        <v/>
      </c>
      <c r="U25" s="498" t="str">
        <f t="shared" si="2"/>
        <v/>
      </c>
      <c r="V25" s="536" t="str">
        <f t="shared" si="3"/>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0"/>
        <v/>
      </c>
      <c r="AE25" s="82"/>
      <c r="AF25" s="82"/>
      <c r="AG25" s="506" t="str">
        <f t="shared" si="4"/>
        <v/>
      </c>
      <c r="AH25" s="520" t="str">
        <f t="shared" si="5"/>
        <v/>
      </c>
      <c r="AI25" s="521" t="str">
        <f>IF(AH25="Check Data","Check Data",IFERROR(VLOOKUP(AH25,'G-4 Temporal multipliers'!$A$4:$C$36,3,FALSE),""))</f>
        <v/>
      </c>
      <c r="AJ25" s="497" t="str">
        <f>IF(S25="","",VLOOKUP(S25,'G-3 Multipliers'!$A$2:$E$129,4,FALSE))</f>
        <v/>
      </c>
      <c r="AK25" s="506" t="str">
        <f t="shared" si="6"/>
        <v/>
      </c>
      <c r="AL25" s="506" t="str">
        <f t="shared" si="7"/>
        <v/>
      </c>
      <c r="AM25" s="539" t="str">
        <f>IFERROR(IF(F25="","",IF(AH25="Check Data ⚠","Check Data ⚠",VLOOKUP(AL25, 'G-3 Multipliers'!$P$2:$Q$6,2,FALSE))),"")</f>
        <v/>
      </c>
      <c r="AN25" s="512" t="str">
        <f t="shared" si="8"/>
        <v/>
      </c>
      <c r="AO25" s="238"/>
      <c r="AP25" s="239"/>
    </row>
    <row r="26" spans="1:42" x14ac:dyDescent="0.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c r="R26" s="237"/>
      <c r="S26" s="391" t="str">
        <f>IFERROR(INDEX('G-1 All Habitats'!$B$3:$B$129,MATCH(R26,'G-1 All Habitats'!$A$3:$A$129,0)),"")</f>
        <v/>
      </c>
      <c r="T26" s="497" t="str">
        <f t="shared" si="1"/>
        <v/>
      </c>
      <c r="U26" s="498" t="str">
        <f t="shared" si="2"/>
        <v/>
      </c>
      <c r="V26" s="536" t="str">
        <f t="shared" si="3"/>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0"/>
        <v/>
      </c>
      <c r="AE26" s="82"/>
      <c r="AF26" s="82"/>
      <c r="AG26" s="506" t="str">
        <f t="shared" si="4"/>
        <v/>
      </c>
      <c r="AH26" s="520" t="str">
        <f t="shared" si="5"/>
        <v/>
      </c>
      <c r="AI26" s="521" t="str">
        <f>IF(AH26="Check Data","Check Data",IFERROR(VLOOKUP(AH26,'G-4 Temporal multipliers'!$A$4:$C$36,3,FALSE),""))</f>
        <v/>
      </c>
      <c r="AJ26" s="497" t="str">
        <f>IF(S26="","",VLOOKUP(S26,'G-3 Multipliers'!$A$2:$E$129,4,FALSE))</f>
        <v/>
      </c>
      <c r="AK26" s="506" t="str">
        <f t="shared" si="6"/>
        <v/>
      </c>
      <c r="AL26" s="506" t="str">
        <f t="shared" si="7"/>
        <v/>
      </c>
      <c r="AM26" s="539" t="str">
        <f>IFERROR(IF(F26="","",IF(AH26="Check Data ⚠","Check Data ⚠",VLOOKUP(AL26, 'G-3 Multipliers'!$P$2:$Q$6,2,FALSE))),"")</f>
        <v/>
      </c>
      <c r="AN26" s="512" t="str">
        <f t="shared" si="8"/>
        <v/>
      </c>
      <c r="AO26" s="238"/>
      <c r="AP26" s="239"/>
    </row>
    <row r="27" spans="1:42" x14ac:dyDescent="0.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c r="R27" s="237"/>
      <c r="S27" s="391" t="str">
        <f>IFERROR(INDEX('G-1 All Habitats'!$B$3:$B$129,MATCH(R27,'G-1 All Habitats'!$A$3:$A$129,0)),"")</f>
        <v/>
      </c>
      <c r="T27" s="497" t="str">
        <f t="shared" si="1"/>
        <v/>
      </c>
      <c r="U27" s="498" t="str">
        <f t="shared" si="2"/>
        <v/>
      </c>
      <c r="V27" s="536" t="str">
        <f t="shared" si="3"/>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0"/>
        <v/>
      </c>
      <c r="AE27" s="82"/>
      <c r="AF27" s="82"/>
      <c r="AG27" s="506" t="str">
        <f t="shared" si="4"/>
        <v/>
      </c>
      <c r="AH27" s="520" t="str">
        <f t="shared" si="5"/>
        <v/>
      </c>
      <c r="AI27" s="521" t="str">
        <f>IF(AH27="Check Data","Check Data",IFERROR(VLOOKUP(AH27,'G-4 Temporal multipliers'!$A$4:$C$36,3,FALSE),""))</f>
        <v/>
      </c>
      <c r="AJ27" s="497" t="str">
        <f>IF(S27="","",VLOOKUP(S27,'G-3 Multipliers'!$A$2:$E$129,4,FALSE))</f>
        <v/>
      </c>
      <c r="AK27" s="506" t="str">
        <f t="shared" si="6"/>
        <v/>
      </c>
      <c r="AL27" s="506" t="str">
        <f t="shared" si="7"/>
        <v/>
      </c>
      <c r="AM27" s="539" t="str">
        <f>IFERROR(IF(F27="","",IF(AH27="Check Data ⚠","Check Data ⚠",VLOOKUP(AL27, 'G-3 Multipliers'!$P$2:$Q$6,2,FALSE))),"")</f>
        <v/>
      </c>
      <c r="AN27" s="512" t="str">
        <f t="shared" si="8"/>
        <v/>
      </c>
      <c r="AO27" s="238"/>
      <c r="AP27" s="239"/>
    </row>
    <row r="28" spans="1:42" x14ac:dyDescent="0.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c r="R28" s="237"/>
      <c r="S28" s="391" t="str">
        <f>IFERROR(INDEX('G-1 All Habitats'!$B$3:$B$129,MATCH(R28,'G-1 All Habitats'!$A$3:$A$129,0)),"")</f>
        <v/>
      </c>
      <c r="T28" s="497" t="str">
        <f t="shared" si="1"/>
        <v/>
      </c>
      <c r="U28" s="498" t="str">
        <f t="shared" si="2"/>
        <v/>
      </c>
      <c r="V28" s="536" t="str">
        <f t="shared" si="3"/>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0"/>
        <v/>
      </c>
      <c r="AE28" s="82"/>
      <c r="AF28" s="82"/>
      <c r="AG28" s="506" t="str">
        <f t="shared" si="4"/>
        <v/>
      </c>
      <c r="AH28" s="520" t="str">
        <f t="shared" si="5"/>
        <v/>
      </c>
      <c r="AI28" s="521" t="str">
        <f>IF(AH28="Check Data","Check Data",IFERROR(VLOOKUP(AH28,'G-4 Temporal multipliers'!$A$4:$C$36,3,FALSE),""))</f>
        <v/>
      </c>
      <c r="AJ28" s="497" t="str">
        <f>IF(S28="","",VLOOKUP(S28,'G-3 Multipliers'!$A$2:$E$129,4,FALSE))</f>
        <v/>
      </c>
      <c r="AK28" s="506" t="str">
        <f t="shared" si="6"/>
        <v/>
      </c>
      <c r="AL28" s="506" t="str">
        <f t="shared" si="7"/>
        <v/>
      </c>
      <c r="AM28" s="539" t="str">
        <f>IFERROR(IF(F28="","",IF(AH28="Check Data ⚠","Check Data ⚠",VLOOKUP(AL28, 'G-3 Multipliers'!$P$2:$Q$6,2,FALSE))),"")</f>
        <v/>
      </c>
      <c r="AN28" s="512" t="str">
        <f t="shared" si="8"/>
        <v/>
      </c>
      <c r="AO28" s="238"/>
      <c r="AP28" s="239"/>
    </row>
    <row r="29" spans="1:42" x14ac:dyDescent="0.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c r="R29" s="237"/>
      <c r="S29" s="391" t="str">
        <f>IFERROR(INDEX('G-1 All Habitats'!$B$3:$B$129,MATCH(R29,'G-1 All Habitats'!$A$3:$A$129,0)),"")</f>
        <v/>
      </c>
      <c r="T29" s="497" t="str">
        <f t="shared" si="1"/>
        <v/>
      </c>
      <c r="U29" s="498" t="str">
        <f t="shared" si="2"/>
        <v/>
      </c>
      <c r="V29" s="536" t="str">
        <f t="shared" si="3"/>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0"/>
        <v/>
      </c>
      <c r="AE29" s="82"/>
      <c r="AF29" s="82"/>
      <c r="AG29" s="506" t="str">
        <f t="shared" si="4"/>
        <v/>
      </c>
      <c r="AH29" s="520" t="str">
        <f t="shared" si="5"/>
        <v/>
      </c>
      <c r="AI29" s="521" t="str">
        <f>IF(AH29="Check Data","Check Data",IFERROR(VLOOKUP(AH29,'G-4 Temporal multipliers'!$A$4:$C$36,3,FALSE),""))</f>
        <v/>
      </c>
      <c r="AJ29" s="497" t="str">
        <f>IF(S29="","",VLOOKUP(S29,'G-3 Multipliers'!$A$2:$E$129,4,FALSE))</f>
        <v/>
      </c>
      <c r="AK29" s="506" t="str">
        <f t="shared" si="6"/>
        <v/>
      </c>
      <c r="AL29" s="506" t="str">
        <f t="shared" si="7"/>
        <v/>
      </c>
      <c r="AM29" s="539" t="str">
        <f>IFERROR(IF(F29="","",IF(AH29="Check Data ⚠","Check Data ⚠",VLOOKUP(AL29, 'G-3 Multipliers'!$P$2:$Q$6,2,FALSE))),"")</f>
        <v/>
      </c>
      <c r="AN29" s="512" t="str">
        <f t="shared" si="8"/>
        <v/>
      </c>
      <c r="AO29" s="238"/>
      <c r="AP29" s="239"/>
    </row>
    <row r="30" spans="1:42" x14ac:dyDescent="0.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c r="R30" s="237"/>
      <c r="S30" s="391" t="str">
        <f>IFERROR(INDEX('G-1 All Habitats'!$B$3:$B$129,MATCH(R30,'G-1 All Habitats'!$A$3:$A$129,0)),"")</f>
        <v/>
      </c>
      <c r="T30" s="497" t="str">
        <f t="shared" si="1"/>
        <v/>
      </c>
      <c r="U30" s="498" t="str">
        <f t="shared" si="2"/>
        <v/>
      </c>
      <c r="V30" s="536" t="str">
        <f t="shared" si="3"/>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0"/>
        <v/>
      </c>
      <c r="AE30" s="82"/>
      <c r="AF30" s="82"/>
      <c r="AG30" s="506" t="str">
        <f t="shared" si="4"/>
        <v/>
      </c>
      <c r="AH30" s="520" t="str">
        <f t="shared" si="5"/>
        <v/>
      </c>
      <c r="AI30" s="521" t="str">
        <f>IF(AH30="Check Data","Check Data",IFERROR(VLOOKUP(AH30,'G-4 Temporal multipliers'!$A$4:$C$36,3,FALSE),""))</f>
        <v/>
      </c>
      <c r="AJ30" s="497" t="str">
        <f>IF(S30="","",VLOOKUP(S30,'G-3 Multipliers'!$A$2:$E$129,4,FALSE))</f>
        <v/>
      </c>
      <c r="AK30" s="506" t="str">
        <f t="shared" si="6"/>
        <v/>
      </c>
      <c r="AL30" s="506" t="str">
        <f t="shared" si="7"/>
        <v/>
      </c>
      <c r="AM30" s="539" t="str">
        <f>IFERROR(IF(F30="","",IF(AH30="Check Data ⚠","Check Data ⚠",VLOOKUP(AL30, 'G-3 Multipliers'!$P$2:$Q$6,2,FALSE))),"")</f>
        <v/>
      </c>
      <c r="AN30" s="512" t="str">
        <f t="shared" si="8"/>
        <v/>
      </c>
      <c r="AO30" s="238"/>
      <c r="AP30" s="239"/>
    </row>
    <row r="31" spans="1:42" x14ac:dyDescent="0.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c r="R31" s="237"/>
      <c r="S31" s="391" t="str">
        <f>IFERROR(INDEX('G-1 All Habitats'!$B$3:$B$129,MATCH(R31,'G-1 All Habitats'!$A$3:$A$129,0)),"")</f>
        <v/>
      </c>
      <c r="T31" s="497" t="str">
        <f t="shared" si="1"/>
        <v/>
      </c>
      <c r="U31" s="498" t="str">
        <f t="shared" si="2"/>
        <v/>
      </c>
      <c r="V31" s="536" t="str">
        <f t="shared" si="3"/>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0"/>
        <v/>
      </c>
      <c r="AE31" s="82"/>
      <c r="AF31" s="82"/>
      <c r="AG31" s="506" t="str">
        <f t="shared" si="4"/>
        <v/>
      </c>
      <c r="AH31" s="520" t="str">
        <f t="shared" si="5"/>
        <v/>
      </c>
      <c r="AI31" s="521" t="str">
        <f>IF(AH31="Check Data","Check Data",IFERROR(VLOOKUP(AH31,'G-4 Temporal multipliers'!$A$4:$C$36,3,FALSE),""))</f>
        <v/>
      </c>
      <c r="AJ31" s="497" t="str">
        <f>IF(S31="","",VLOOKUP(S31,'G-3 Multipliers'!$A$2:$E$129,4,FALSE))</f>
        <v/>
      </c>
      <c r="AK31" s="506" t="str">
        <f t="shared" si="6"/>
        <v/>
      </c>
      <c r="AL31" s="506" t="str">
        <f t="shared" si="7"/>
        <v/>
      </c>
      <c r="AM31" s="539" t="str">
        <f>IFERROR(IF(F31="","",IF(AH31="Check Data ⚠","Check Data ⚠",VLOOKUP(AL31, 'G-3 Multipliers'!$P$2:$Q$6,2,FALSE))),"")</f>
        <v/>
      </c>
      <c r="AN31" s="512" t="str">
        <f t="shared" si="8"/>
        <v/>
      </c>
      <c r="AO31" s="238"/>
      <c r="AP31" s="239"/>
    </row>
    <row r="32" spans="1:42" x14ac:dyDescent="0.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c r="R32" s="237"/>
      <c r="S32" s="391" t="str">
        <f>IFERROR(INDEX('G-1 All Habitats'!$B$3:$B$129,MATCH(R32,'G-1 All Habitats'!$A$3:$A$129,0)),"")</f>
        <v/>
      </c>
      <c r="T32" s="497" t="str">
        <f t="shared" si="1"/>
        <v/>
      </c>
      <c r="U32" s="498" t="str">
        <f t="shared" si="2"/>
        <v/>
      </c>
      <c r="V32" s="536" t="str">
        <f t="shared" si="3"/>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0"/>
        <v/>
      </c>
      <c r="AE32" s="82"/>
      <c r="AF32" s="82"/>
      <c r="AG32" s="506" t="str">
        <f t="shared" si="4"/>
        <v/>
      </c>
      <c r="AH32" s="520" t="str">
        <f t="shared" si="5"/>
        <v/>
      </c>
      <c r="AI32" s="521" t="str">
        <f>IF(AH32="Check Data","Check Data",IFERROR(VLOOKUP(AH32,'G-4 Temporal multipliers'!$A$4:$C$36,3,FALSE),""))</f>
        <v/>
      </c>
      <c r="AJ32" s="497" t="str">
        <f>IF(S32="","",VLOOKUP(S32,'G-3 Multipliers'!$A$2:$E$129,4,FALSE))</f>
        <v/>
      </c>
      <c r="AK32" s="506" t="str">
        <f t="shared" si="6"/>
        <v/>
      </c>
      <c r="AL32" s="506" t="str">
        <f t="shared" si="7"/>
        <v/>
      </c>
      <c r="AM32" s="539" t="str">
        <f>IFERROR(IF(F32="","",IF(AH32="Check Data ⚠","Check Data ⚠",VLOOKUP(AL32, 'G-3 Multipliers'!$P$2:$Q$6,2,FALSE))),"")</f>
        <v/>
      </c>
      <c r="AN32" s="512" t="str">
        <f t="shared" si="8"/>
        <v/>
      </c>
      <c r="AO32" s="238"/>
      <c r="AP32" s="239"/>
    </row>
    <row r="33" spans="1:42" x14ac:dyDescent="0.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c r="R33" s="237"/>
      <c r="S33" s="391" t="str">
        <f>IFERROR(INDEX('G-1 All Habitats'!$B$3:$B$129,MATCH(R33,'G-1 All Habitats'!$A$3:$A$129,0)),"")</f>
        <v/>
      </c>
      <c r="T33" s="497" t="str">
        <f t="shared" si="1"/>
        <v/>
      </c>
      <c r="U33" s="498" t="str">
        <f t="shared" si="2"/>
        <v/>
      </c>
      <c r="V33" s="536" t="str">
        <f t="shared" si="3"/>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0"/>
        <v/>
      </c>
      <c r="AE33" s="82"/>
      <c r="AF33" s="82"/>
      <c r="AG33" s="506" t="str">
        <f t="shared" si="4"/>
        <v/>
      </c>
      <c r="AH33" s="520" t="str">
        <f t="shared" si="5"/>
        <v/>
      </c>
      <c r="AI33" s="521" t="str">
        <f>IF(AH33="Check Data","Check Data",IFERROR(VLOOKUP(AH33,'G-4 Temporal multipliers'!$A$4:$C$36,3,FALSE),""))</f>
        <v/>
      </c>
      <c r="AJ33" s="497" t="str">
        <f>IF(S33="","",VLOOKUP(S33,'G-3 Multipliers'!$A$2:$E$129,4,FALSE))</f>
        <v/>
      </c>
      <c r="AK33" s="506" t="str">
        <f t="shared" si="6"/>
        <v/>
      </c>
      <c r="AL33" s="506" t="str">
        <f t="shared" si="7"/>
        <v/>
      </c>
      <c r="AM33" s="539" t="str">
        <f>IFERROR(IF(F33="","",IF(AH33="Check Data ⚠","Check Data ⚠",VLOOKUP(AL33, 'G-3 Multipliers'!$P$2:$Q$6,2,FALSE))),"")</f>
        <v/>
      </c>
      <c r="AN33" s="512" t="str">
        <f t="shared" si="8"/>
        <v/>
      </c>
      <c r="AO33" s="238"/>
      <c r="AP33" s="239"/>
    </row>
    <row r="34" spans="1:42" x14ac:dyDescent="0.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c r="R34" s="237"/>
      <c r="S34" s="391" t="str">
        <f>IFERROR(INDEX('G-1 All Habitats'!$B$3:$B$129,MATCH(R34,'G-1 All Habitats'!$A$3:$A$129,0)),"")</f>
        <v/>
      </c>
      <c r="T34" s="497" t="str">
        <f t="shared" si="1"/>
        <v/>
      </c>
      <c r="U34" s="498" t="str">
        <f t="shared" si="2"/>
        <v/>
      </c>
      <c r="V34" s="536" t="str">
        <f t="shared" si="3"/>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0"/>
        <v/>
      </c>
      <c r="AE34" s="82"/>
      <c r="AF34" s="82"/>
      <c r="AG34" s="506" t="str">
        <f t="shared" si="4"/>
        <v/>
      </c>
      <c r="AH34" s="520" t="str">
        <f t="shared" si="5"/>
        <v/>
      </c>
      <c r="AI34" s="521" t="str">
        <f>IF(AH34="Check Data","Check Data",IFERROR(VLOOKUP(AH34,'G-4 Temporal multipliers'!$A$4:$C$36,3,FALSE),""))</f>
        <v/>
      </c>
      <c r="AJ34" s="497" t="str">
        <f>IF(S34="","",VLOOKUP(S34,'G-3 Multipliers'!$A$2:$E$129,4,FALSE))</f>
        <v/>
      </c>
      <c r="AK34" s="506" t="str">
        <f t="shared" si="6"/>
        <v/>
      </c>
      <c r="AL34" s="506" t="str">
        <f t="shared" si="7"/>
        <v/>
      </c>
      <c r="AM34" s="539" t="str">
        <f>IFERROR(IF(F34="","",IF(AH34="Check Data ⚠","Check Data ⚠",VLOOKUP(AL34, 'G-3 Multipliers'!$P$2:$Q$6,2,FALSE))),"")</f>
        <v/>
      </c>
      <c r="AN34" s="512" t="str">
        <f t="shared" si="8"/>
        <v/>
      </c>
      <c r="AO34" s="238"/>
      <c r="AP34" s="239"/>
    </row>
    <row r="35" spans="1:42" x14ac:dyDescent="0.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c r="R35" s="237"/>
      <c r="S35" s="391" t="str">
        <f>IFERROR(INDEX('G-1 All Habitats'!$B$3:$B$129,MATCH(R35,'G-1 All Habitats'!$A$3:$A$129,0)),"")</f>
        <v/>
      </c>
      <c r="T35" s="497" t="str">
        <f t="shared" si="1"/>
        <v/>
      </c>
      <c r="U35" s="498" t="str">
        <f t="shared" si="2"/>
        <v/>
      </c>
      <c r="V35" s="536" t="str">
        <f t="shared" si="3"/>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0"/>
        <v/>
      </c>
      <c r="AE35" s="82"/>
      <c r="AF35" s="82"/>
      <c r="AG35" s="506" t="str">
        <f t="shared" si="4"/>
        <v/>
      </c>
      <c r="AH35" s="520" t="str">
        <f t="shared" si="5"/>
        <v/>
      </c>
      <c r="AI35" s="521" t="str">
        <f>IF(AH35="Check Data","Check Data",IFERROR(VLOOKUP(AH35,'G-4 Temporal multipliers'!$A$4:$C$36,3,FALSE),""))</f>
        <v/>
      </c>
      <c r="AJ35" s="497" t="str">
        <f>IF(S35="","",VLOOKUP(S35,'G-3 Multipliers'!$A$2:$E$129,4,FALSE))</f>
        <v/>
      </c>
      <c r="AK35" s="506" t="str">
        <f t="shared" si="6"/>
        <v/>
      </c>
      <c r="AL35" s="506" t="str">
        <f t="shared" si="7"/>
        <v/>
      </c>
      <c r="AM35" s="539" t="str">
        <f>IFERROR(IF(F35="","",IF(AH35="Check Data ⚠","Check Data ⚠",VLOOKUP(AL35, 'G-3 Multipliers'!$P$2:$Q$6,2,FALSE))),"")</f>
        <v/>
      </c>
      <c r="AN35" s="512" t="str">
        <f t="shared" si="8"/>
        <v/>
      </c>
      <c r="AO35" s="238"/>
      <c r="AP35" s="239"/>
    </row>
    <row r="36" spans="1:42" x14ac:dyDescent="0.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c r="R36" s="237"/>
      <c r="S36" s="391" t="str">
        <f>IFERROR(INDEX('G-1 All Habitats'!$B$3:$B$129,MATCH(R36,'G-1 All Habitats'!$A$3:$A$129,0)),"")</f>
        <v/>
      </c>
      <c r="T36" s="497" t="str">
        <f t="shared" si="1"/>
        <v/>
      </c>
      <c r="U36" s="498" t="str">
        <f t="shared" si="2"/>
        <v/>
      </c>
      <c r="V36" s="536" t="str">
        <f t="shared" si="3"/>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0"/>
        <v/>
      </c>
      <c r="AE36" s="82"/>
      <c r="AF36" s="82"/>
      <c r="AG36" s="506" t="str">
        <f t="shared" si="4"/>
        <v/>
      </c>
      <c r="AH36" s="520" t="str">
        <f t="shared" si="5"/>
        <v/>
      </c>
      <c r="AI36" s="521" t="str">
        <f>IF(AH36="Check Data","Check Data",IFERROR(VLOOKUP(AH36,'G-4 Temporal multipliers'!$A$4:$C$36,3,FALSE),""))</f>
        <v/>
      </c>
      <c r="AJ36" s="497" t="str">
        <f>IF(S36="","",VLOOKUP(S36,'G-3 Multipliers'!$A$2:$E$129,4,FALSE))</f>
        <v/>
      </c>
      <c r="AK36" s="506" t="str">
        <f t="shared" si="6"/>
        <v/>
      </c>
      <c r="AL36" s="506" t="str">
        <f t="shared" si="7"/>
        <v/>
      </c>
      <c r="AM36" s="539" t="str">
        <f>IFERROR(IF(F36="","",IF(AH36="Check Data ⚠","Check Data ⚠",VLOOKUP(AL36, 'G-3 Multipliers'!$P$2:$Q$6,2,FALSE))),"")</f>
        <v/>
      </c>
      <c r="AN36" s="512" t="str">
        <f t="shared" si="8"/>
        <v/>
      </c>
      <c r="AO36" s="238"/>
      <c r="AP36" s="239"/>
    </row>
    <row r="37" spans="1:42" x14ac:dyDescent="0.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c r="R37" s="237"/>
      <c r="S37" s="391" t="str">
        <f>IFERROR(INDEX('G-1 All Habitats'!$B$3:$B$129,MATCH(R37,'G-1 All Habitats'!$A$3:$A$129,0)),"")</f>
        <v/>
      </c>
      <c r="T37" s="497" t="str">
        <f t="shared" si="1"/>
        <v/>
      </c>
      <c r="U37" s="498" t="str">
        <f t="shared" si="2"/>
        <v/>
      </c>
      <c r="V37" s="536" t="str">
        <f t="shared" si="3"/>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0"/>
        <v/>
      </c>
      <c r="AE37" s="82"/>
      <c r="AF37" s="82"/>
      <c r="AG37" s="506" t="str">
        <f t="shared" si="4"/>
        <v/>
      </c>
      <c r="AH37" s="520" t="str">
        <f t="shared" si="5"/>
        <v/>
      </c>
      <c r="AI37" s="521" t="str">
        <f>IF(AH37="Check Data","Check Data",IFERROR(VLOOKUP(AH37,'G-4 Temporal multipliers'!$A$4:$C$36,3,FALSE),""))</f>
        <v/>
      </c>
      <c r="AJ37" s="497" t="str">
        <f>IF(S37="","",VLOOKUP(S37,'G-3 Multipliers'!$A$2:$E$129,4,FALSE))</f>
        <v/>
      </c>
      <c r="AK37" s="506" t="str">
        <f t="shared" si="6"/>
        <v/>
      </c>
      <c r="AL37" s="506" t="str">
        <f t="shared" si="7"/>
        <v/>
      </c>
      <c r="AM37" s="539" t="str">
        <f>IFERROR(IF(F37="","",IF(AH37="Check Data ⚠","Check Data ⚠",VLOOKUP(AL37, 'G-3 Multipliers'!$P$2:$Q$6,2,FALSE))),"")</f>
        <v/>
      </c>
      <c r="AN37" s="512" t="str">
        <f t="shared" si="8"/>
        <v/>
      </c>
      <c r="AO37" s="238"/>
      <c r="AP37" s="239"/>
    </row>
    <row r="38" spans="1:42" x14ac:dyDescent="0.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c r="R38" s="237"/>
      <c r="S38" s="391" t="str">
        <f>IFERROR(INDEX('G-1 All Habitats'!$B$3:$B$129,MATCH(R38,'G-1 All Habitats'!$A$3:$A$129,0)),"")</f>
        <v/>
      </c>
      <c r="T38" s="497" t="str">
        <f t="shared" si="1"/>
        <v/>
      </c>
      <c r="U38" s="498" t="str">
        <f t="shared" si="2"/>
        <v/>
      </c>
      <c r="V38" s="536" t="str">
        <f t="shared" si="3"/>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0"/>
        <v/>
      </c>
      <c r="AE38" s="82"/>
      <c r="AF38" s="82"/>
      <c r="AG38" s="506" t="str">
        <f t="shared" si="4"/>
        <v/>
      </c>
      <c r="AH38" s="520" t="str">
        <f t="shared" si="5"/>
        <v/>
      </c>
      <c r="AI38" s="521" t="str">
        <f>IF(AH38="Check Data","Check Data",IFERROR(VLOOKUP(AH38,'G-4 Temporal multipliers'!$A$4:$C$36,3,FALSE),""))</f>
        <v/>
      </c>
      <c r="AJ38" s="497" t="str">
        <f>IF(S38="","",VLOOKUP(S38,'G-3 Multipliers'!$A$2:$E$129,4,FALSE))</f>
        <v/>
      </c>
      <c r="AK38" s="506" t="str">
        <f t="shared" si="6"/>
        <v/>
      </c>
      <c r="AL38" s="506" t="str">
        <f t="shared" si="7"/>
        <v/>
      </c>
      <c r="AM38" s="539" t="str">
        <f>IFERROR(IF(F38="","",IF(AH38="Check Data ⚠","Check Data ⚠",VLOOKUP(AL38, 'G-3 Multipliers'!$P$2:$Q$6,2,FALSE))),"")</f>
        <v/>
      </c>
      <c r="AN38" s="512" t="str">
        <f t="shared" si="8"/>
        <v/>
      </c>
      <c r="AO38" s="238"/>
      <c r="AP38" s="239"/>
    </row>
    <row r="39" spans="1:42" x14ac:dyDescent="0.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c r="R39" s="237"/>
      <c r="S39" s="391" t="str">
        <f>IFERROR(INDEX('G-1 All Habitats'!$B$3:$B$129,MATCH(R39,'G-1 All Habitats'!$A$3:$A$129,0)),"")</f>
        <v/>
      </c>
      <c r="T39" s="497" t="str">
        <f t="shared" si="1"/>
        <v/>
      </c>
      <c r="U39" s="498" t="str">
        <f t="shared" si="2"/>
        <v/>
      </c>
      <c r="V39" s="536" t="str">
        <f t="shared" si="3"/>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0"/>
        <v/>
      </c>
      <c r="AE39" s="82"/>
      <c r="AF39" s="82"/>
      <c r="AG39" s="506" t="str">
        <f t="shared" si="4"/>
        <v/>
      </c>
      <c r="AH39" s="520" t="str">
        <f t="shared" si="5"/>
        <v/>
      </c>
      <c r="AI39" s="521" t="str">
        <f>IF(AH39="Check Data","Check Data",IFERROR(VLOOKUP(AH39,'G-4 Temporal multipliers'!$A$4:$C$36,3,FALSE),""))</f>
        <v/>
      </c>
      <c r="AJ39" s="497" t="str">
        <f>IF(S39="","",VLOOKUP(S39,'G-3 Multipliers'!$A$2:$E$129,4,FALSE))</f>
        <v/>
      </c>
      <c r="AK39" s="506" t="str">
        <f t="shared" si="6"/>
        <v/>
      </c>
      <c r="AL39" s="506" t="str">
        <f t="shared" si="7"/>
        <v/>
      </c>
      <c r="AM39" s="539" t="str">
        <f>IFERROR(IF(F39="","",IF(AH39="Check Data ⚠","Check Data ⚠",VLOOKUP(AL39, 'G-3 Multipliers'!$P$2:$Q$6,2,FALSE))),"")</f>
        <v/>
      </c>
      <c r="AN39" s="512" t="str">
        <f t="shared" si="8"/>
        <v/>
      </c>
      <c r="AO39" s="238"/>
      <c r="AP39" s="239"/>
    </row>
    <row r="40" spans="1:42" x14ac:dyDescent="0.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c r="R40" s="237"/>
      <c r="S40" s="391" t="str">
        <f>IFERROR(INDEX('G-1 All Habitats'!$B$3:$B$129,MATCH(R40,'G-1 All Habitats'!$A$3:$A$129,0)),"")</f>
        <v/>
      </c>
      <c r="T40" s="497" t="str">
        <f t="shared" si="1"/>
        <v/>
      </c>
      <c r="U40" s="498" t="str">
        <f t="shared" si="2"/>
        <v/>
      </c>
      <c r="V40" s="536" t="str">
        <f t="shared" si="3"/>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0"/>
        <v/>
      </c>
      <c r="AE40" s="82"/>
      <c r="AF40" s="82"/>
      <c r="AG40" s="506" t="str">
        <f t="shared" si="4"/>
        <v/>
      </c>
      <c r="AH40" s="520" t="str">
        <f t="shared" si="5"/>
        <v/>
      </c>
      <c r="AI40" s="521" t="str">
        <f>IF(AH40="Check Data","Check Data",IFERROR(VLOOKUP(AH40,'G-4 Temporal multipliers'!$A$4:$C$36,3,FALSE),""))</f>
        <v/>
      </c>
      <c r="AJ40" s="497" t="str">
        <f>IF(S40="","",VLOOKUP(S40,'G-3 Multipliers'!$A$2:$E$129,4,FALSE))</f>
        <v/>
      </c>
      <c r="AK40" s="506" t="str">
        <f t="shared" si="6"/>
        <v/>
      </c>
      <c r="AL40" s="506" t="str">
        <f t="shared" si="7"/>
        <v/>
      </c>
      <c r="AM40" s="539" t="str">
        <f>IFERROR(IF(F40="","",IF(AH40="Check Data ⚠","Check Data ⚠",VLOOKUP(AL40, 'G-3 Multipliers'!$P$2:$Q$6,2,FALSE))),"")</f>
        <v/>
      </c>
      <c r="AN40" s="512" t="str">
        <f t="shared" si="8"/>
        <v/>
      </c>
      <c r="AO40" s="238"/>
      <c r="AP40" s="239"/>
    </row>
    <row r="41" spans="1:42" x14ac:dyDescent="0.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c r="R41" s="237"/>
      <c r="S41" s="391" t="str">
        <f>IFERROR(INDEX('G-1 All Habitats'!$B$3:$B$129,MATCH(R41,'G-1 All Habitats'!$A$3:$A$129,0)),"")</f>
        <v/>
      </c>
      <c r="T41" s="497" t="str">
        <f t="shared" si="1"/>
        <v/>
      </c>
      <c r="U41" s="498" t="str">
        <f t="shared" si="2"/>
        <v/>
      </c>
      <c r="V41" s="536" t="str">
        <f t="shared" si="3"/>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0"/>
        <v/>
      </c>
      <c r="AE41" s="82"/>
      <c r="AF41" s="82"/>
      <c r="AG41" s="506" t="str">
        <f t="shared" si="4"/>
        <v/>
      </c>
      <c r="AH41" s="520" t="str">
        <f t="shared" si="5"/>
        <v/>
      </c>
      <c r="AI41" s="521" t="str">
        <f>IF(AH41="Check Data","Check Data",IFERROR(VLOOKUP(AH41,'G-4 Temporal multipliers'!$A$4:$C$36,3,FALSE),""))</f>
        <v/>
      </c>
      <c r="AJ41" s="497" t="str">
        <f>IF(S41="","",VLOOKUP(S41,'G-3 Multipliers'!$A$2:$E$129,4,FALSE))</f>
        <v/>
      </c>
      <c r="AK41" s="506" t="str">
        <f t="shared" si="6"/>
        <v/>
      </c>
      <c r="AL41" s="506" t="str">
        <f t="shared" si="7"/>
        <v/>
      </c>
      <c r="AM41" s="539" t="str">
        <f>IFERROR(IF(F41="","",IF(AH41="Check Data ⚠","Check Data ⚠",VLOOKUP(AL41, 'G-3 Multipliers'!$P$2:$Q$6,2,FALSE))),"")</f>
        <v/>
      </c>
      <c r="AN41" s="512" t="str">
        <f t="shared" si="8"/>
        <v/>
      </c>
      <c r="AO41" s="238"/>
      <c r="AP41" s="239"/>
    </row>
    <row r="42" spans="1:42" x14ac:dyDescent="0.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c r="R42" s="237"/>
      <c r="S42" s="391" t="str">
        <f>IFERROR(INDEX('G-1 All Habitats'!$B$3:$B$129,MATCH(R42,'G-1 All Habitats'!$A$3:$A$129,0)),"")</f>
        <v/>
      </c>
      <c r="T42" s="497" t="str">
        <f t="shared" si="1"/>
        <v/>
      </c>
      <c r="U42" s="498" t="str">
        <f t="shared" si="2"/>
        <v/>
      </c>
      <c r="V42" s="536" t="str">
        <f t="shared" si="3"/>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0"/>
        <v/>
      </c>
      <c r="AE42" s="82"/>
      <c r="AF42" s="82"/>
      <c r="AG42" s="506" t="str">
        <f t="shared" si="4"/>
        <v/>
      </c>
      <c r="AH42" s="520" t="str">
        <f t="shared" si="5"/>
        <v/>
      </c>
      <c r="AI42" s="521" t="str">
        <f>IF(AH42="Check Data","Check Data",IFERROR(VLOOKUP(AH42,'G-4 Temporal multipliers'!$A$4:$C$36,3,FALSE),""))</f>
        <v/>
      </c>
      <c r="AJ42" s="497" t="str">
        <f>IF(S42="","",VLOOKUP(S42,'G-3 Multipliers'!$A$2:$E$129,4,FALSE))</f>
        <v/>
      </c>
      <c r="AK42" s="506" t="str">
        <f t="shared" si="6"/>
        <v/>
      </c>
      <c r="AL42" s="506" t="str">
        <f t="shared" si="7"/>
        <v/>
      </c>
      <c r="AM42" s="539" t="str">
        <f>IFERROR(IF(F42="","",IF(AH42="Check Data ⚠","Check Data ⚠",VLOOKUP(AL42, 'G-3 Multipliers'!$P$2:$Q$6,2,FALSE))),"")</f>
        <v/>
      </c>
      <c r="AN42" s="512" t="str">
        <f t="shared" si="8"/>
        <v/>
      </c>
      <c r="AO42" s="238"/>
      <c r="AP42" s="239"/>
    </row>
    <row r="43" spans="1:42" x14ac:dyDescent="0.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c r="R43" s="237"/>
      <c r="S43" s="391" t="str">
        <f>IFERROR(INDEX('G-1 All Habitats'!$B$3:$B$129,MATCH(R43,'G-1 All Habitats'!$A$3:$A$129,0)),"")</f>
        <v/>
      </c>
      <c r="T43" s="497" t="str">
        <f t="shared" si="1"/>
        <v/>
      </c>
      <c r="U43" s="498" t="str">
        <f t="shared" si="2"/>
        <v/>
      </c>
      <c r="V43" s="536" t="str">
        <f t="shared" si="3"/>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0"/>
        <v/>
      </c>
      <c r="AE43" s="82"/>
      <c r="AF43" s="82"/>
      <c r="AG43" s="506" t="str">
        <f t="shared" si="4"/>
        <v/>
      </c>
      <c r="AH43" s="520" t="str">
        <f t="shared" si="5"/>
        <v/>
      </c>
      <c r="AI43" s="521" t="str">
        <f>IF(AH43="Check Data","Check Data",IFERROR(VLOOKUP(AH43,'G-4 Temporal multipliers'!$A$4:$C$36,3,FALSE),""))</f>
        <v/>
      </c>
      <c r="AJ43" s="497" t="str">
        <f>IF(S43="","",VLOOKUP(S43,'G-3 Multipliers'!$A$2:$E$129,4,FALSE))</f>
        <v/>
      </c>
      <c r="AK43" s="506" t="str">
        <f t="shared" si="6"/>
        <v/>
      </c>
      <c r="AL43" s="506" t="str">
        <f t="shared" si="7"/>
        <v/>
      </c>
      <c r="AM43" s="539" t="str">
        <f>IFERROR(IF(F43="","",IF(AH43="Check Data ⚠","Check Data ⚠",VLOOKUP(AL43, 'G-3 Multipliers'!$P$2:$Q$6,2,FALSE))),"")</f>
        <v/>
      </c>
      <c r="AN43" s="512" t="str">
        <f t="shared" si="8"/>
        <v/>
      </c>
      <c r="AO43" s="238"/>
      <c r="AP43" s="239"/>
    </row>
    <row r="44" spans="1:42" x14ac:dyDescent="0.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c r="R44" s="237"/>
      <c r="S44" s="391" t="str">
        <f>IFERROR(INDEX('G-1 All Habitats'!$B$3:$B$129,MATCH(R44,'G-1 All Habitats'!$A$3:$A$129,0)),"")</f>
        <v/>
      </c>
      <c r="T44" s="497" t="str">
        <f t="shared" si="1"/>
        <v/>
      </c>
      <c r="U44" s="498" t="str">
        <f t="shared" si="2"/>
        <v/>
      </c>
      <c r="V44" s="536" t="str">
        <f t="shared" si="3"/>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0"/>
        <v/>
      </c>
      <c r="AE44" s="82"/>
      <c r="AF44" s="82"/>
      <c r="AG44" s="506" t="str">
        <f t="shared" si="4"/>
        <v/>
      </c>
      <c r="AH44" s="520" t="str">
        <f t="shared" si="5"/>
        <v/>
      </c>
      <c r="AI44" s="521" t="str">
        <f>IF(AH44="Check Data","Check Data",IFERROR(VLOOKUP(AH44,'G-4 Temporal multipliers'!$A$4:$C$36,3,FALSE),""))</f>
        <v/>
      </c>
      <c r="AJ44" s="497" t="str">
        <f>IF(S44="","",VLOOKUP(S44,'G-3 Multipliers'!$A$2:$E$129,4,FALSE))</f>
        <v/>
      </c>
      <c r="AK44" s="506" t="str">
        <f t="shared" si="6"/>
        <v/>
      </c>
      <c r="AL44" s="506" t="str">
        <f t="shared" si="7"/>
        <v/>
      </c>
      <c r="AM44" s="539" t="str">
        <f>IFERROR(IF(F44="","",IF(AH44="Check Data ⚠","Check Data ⚠",VLOOKUP(AL44, 'G-3 Multipliers'!$P$2:$Q$6,2,FALSE))),"")</f>
        <v/>
      </c>
      <c r="AN44" s="512" t="str">
        <f t="shared" si="8"/>
        <v/>
      </c>
      <c r="AO44" s="238"/>
      <c r="AP44" s="239"/>
    </row>
    <row r="45" spans="1:42" x14ac:dyDescent="0.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c r="R45" s="237"/>
      <c r="S45" s="391" t="str">
        <f>IFERROR(INDEX('G-1 All Habitats'!$B$3:$B$129,MATCH(R45,'G-1 All Habitats'!$A$3:$A$129,0)),"")</f>
        <v/>
      </c>
      <c r="T45" s="497" t="str">
        <f t="shared" si="1"/>
        <v/>
      </c>
      <c r="U45" s="498" t="str">
        <f t="shared" si="2"/>
        <v/>
      </c>
      <c r="V45" s="536" t="str">
        <f t="shared" si="3"/>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0"/>
        <v/>
      </c>
      <c r="AE45" s="82"/>
      <c r="AF45" s="82"/>
      <c r="AG45" s="506" t="str">
        <f t="shared" si="4"/>
        <v/>
      </c>
      <c r="AH45" s="520" t="str">
        <f t="shared" si="5"/>
        <v/>
      </c>
      <c r="AI45" s="521" t="str">
        <f>IF(AH45="Check Data","Check Data",IFERROR(VLOOKUP(AH45,'G-4 Temporal multipliers'!$A$4:$C$36,3,FALSE),""))</f>
        <v/>
      </c>
      <c r="AJ45" s="497" t="str">
        <f>IF(S45="","",VLOOKUP(S45,'G-3 Multipliers'!$A$2:$E$129,4,FALSE))</f>
        <v/>
      </c>
      <c r="AK45" s="506" t="str">
        <f t="shared" si="6"/>
        <v/>
      </c>
      <c r="AL45" s="506" t="str">
        <f t="shared" si="7"/>
        <v/>
      </c>
      <c r="AM45" s="539" t="str">
        <f>IFERROR(IF(F45="","",IF(AH45="Check Data ⚠","Check Data ⚠",VLOOKUP(AL45, 'G-3 Multipliers'!$P$2:$Q$6,2,FALSE))),"")</f>
        <v/>
      </c>
      <c r="AN45" s="512" t="str">
        <f t="shared" si="8"/>
        <v/>
      </c>
      <c r="AO45" s="238"/>
      <c r="AP45" s="239"/>
    </row>
    <row r="46" spans="1:42" x14ac:dyDescent="0.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c r="R46" s="237"/>
      <c r="S46" s="391" t="str">
        <f>IFERROR(INDEX('G-1 All Habitats'!$B$3:$B$129,MATCH(R46,'G-1 All Habitats'!$A$3:$A$129,0)),"")</f>
        <v/>
      </c>
      <c r="T46" s="497" t="str">
        <f t="shared" si="1"/>
        <v/>
      </c>
      <c r="U46" s="498" t="str">
        <f t="shared" si="2"/>
        <v/>
      </c>
      <c r="V46" s="536" t="str">
        <f t="shared" si="3"/>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0"/>
        <v/>
      </c>
      <c r="AE46" s="82"/>
      <c r="AF46" s="82"/>
      <c r="AG46" s="506" t="str">
        <f t="shared" si="4"/>
        <v/>
      </c>
      <c r="AH46" s="520" t="str">
        <f t="shared" si="5"/>
        <v/>
      </c>
      <c r="AI46" s="521" t="str">
        <f>IF(AH46="Check Data","Check Data",IFERROR(VLOOKUP(AH46,'G-4 Temporal multipliers'!$A$4:$C$36,3,FALSE),""))</f>
        <v/>
      </c>
      <c r="AJ46" s="497" t="str">
        <f>IF(S46="","",VLOOKUP(S46,'G-3 Multipliers'!$A$2:$E$129,4,FALSE))</f>
        <v/>
      </c>
      <c r="AK46" s="506" t="str">
        <f t="shared" si="6"/>
        <v/>
      </c>
      <c r="AL46" s="506" t="str">
        <f t="shared" si="7"/>
        <v/>
      </c>
      <c r="AM46" s="539" t="str">
        <f>IFERROR(IF(F46="","",IF(AH46="Check Data ⚠","Check Data ⚠",VLOOKUP(AL46, 'G-3 Multipliers'!$P$2:$Q$6,2,FALSE))),"")</f>
        <v/>
      </c>
      <c r="AN46" s="512" t="str">
        <f t="shared" si="8"/>
        <v/>
      </c>
      <c r="AO46" s="238"/>
      <c r="AP46" s="239"/>
    </row>
    <row r="47" spans="1:42" x14ac:dyDescent="0.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c r="R47" s="237"/>
      <c r="S47" s="391" t="str">
        <f>IFERROR(INDEX('G-1 All Habitats'!$B$3:$B$129,MATCH(R47,'G-1 All Habitats'!$A$3:$A$129,0)),"")</f>
        <v/>
      </c>
      <c r="T47" s="497" t="str">
        <f t="shared" si="1"/>
        <v/>
      </c>
      <c r="U47" s="498" t="str">
        <f t="shared" si="2"/>
        <v/>
      </c>
      <c r="V47" s="536" t="str">
        <f t="shared" si="3"/>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0"/>
        <v/>
      </c>
      <c r="AE47" s="82"/>
      <c r="AF47" s="82"/>
      <c r="AG47" s="506" t="str">
        <f t="shared" si="4"/>
        <v/>
      </c>
      <c r="AH47" s="520" t="str">
        <f t="shared" si="5"/>
        <v/>
      </c>
      <c r="AI47" s="521" t="str">
        <f>IF(AH47="Check Data","Check Data",IFERROR(VLOOKUP(AH47,'G-4 Temporal multipliers'!$A$4:$C$36,3,FALSE),""))</f>
        <v/>
      </c>
      <c r="AJ47" s="497" t="str">
        <f>IF(S47="","",VLOOKUP(S47,'G-3 Multipliers'!$A$2:$E$129,4,FALSE))</f>
        <v/>
      </c>
      <c r="AK47" s="506" t="str">
        <f t="shared" si="6"/>
        <v/>
      </c>
      <c r="AL47" s="506" t="str">
        <f t="shared" si="7"/>
        <v/>
      </c>
      <c r="AM47" s="539" t="str">
        <f>IFERROR(IF(F47="","",IF(AH47="Check Data ⚠","Check Data ⚠",VLOOKUP(AL47, 'G-3 Multipliers'!$P$2:$Q$6,2,FALSE))),"")</f>
        <v/>
      </c>
      <c r="AN47" s="512" t="str">
        <f t="shared" si="8"/>
        <v/>
      </c>
      <c r="AO47" s="238"/>
      <c r="AP47" s="239"/>
    </row>
    <row r="48" spans="1:42" x14ac:dyDescent="0.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c r="R48" s="237"/>
      <c r="S48" s="391" t="str">
        <f>IFERROR(INDEX('G-1 All Habitats'!$B$3:$B$129,MATCH(R48,'G-1 All Habitats'!$A$3:$A$129,0)),"")</f>
        <v/>
      </c>
      <c r="T48" s="497" t="str">
        <f t="shared" si="1"/>
        <v/>
      </c>
      <c r="U48" s="498" t="str">
        <f t="shared" si="2"/>
        <v/>
      </c>
      <c r="V48" s="536" t="str">
        <f t="shared" si="3"/>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0"/>
        <v/>
      </c>
      <c r="AE48" s="82"/>
      <c r="AF48" s="82"/>
      <c r="AG48" s="506" t="str">
        <f t="shared" si="4"/>
        <v/>
      </c>
      <c r="AH48" s="520" t="str">
        <f t="shared" si="5"/>
        <v/>
      </c>
      <c r="AI48" s="521" t="str">
        <f>IF(AH48="Check Data","Check Data",IFERROR(VLOOKUP(AH48,'G-4 Temporal multipliers'!$A$4:$C$36,3,FALSE),""))</f>
        <v/>
      </c>
      <c r="AJ48" s="497" t="str">
        <f>IF(S48="","",VLOOKUP(S48,'G-3 Multipliers'!$A$2:$E$129,4,FALSE))</f>
        <v/>
      </c>
      <c r="AK48" s="506" t="str">
        <f t="shared" si="6"/>
        <v/>
      </c>
      <c r="AL48" s="506" t="str">
        <f t="shared" si="7"/>
        <v/>
      </c>
      <c r="AM48" s="539" t="str">
        <f>IFERROR(IF(F48="","",IF(AH48="Check Data ⚠","Check Data ⚠",VLOOKUP(AL48, 'G-3 Multipliers'!$P$2:$Q$6,2,FALSE))),"")</f>
        <v/>
      </c>
      <c r="AN48" s="512" t="str">
        <f t="shared" si="8"/>
        <v/>
      </c>
      <c r="AO48" s="238"/>
      <c r="AP48" s="239"/>
    </row>
    <row r="49" spans="1:42" x14ac:dyDescent="0.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c r="R49" s="237"/>
      <c r="S49" s="391" t="str">
        <f>IFERROR(INDEX('G-1 All Habitats'!$B$3:$B$129,MATCH(R49,'G-1 All Habitats'!$A$3:$A$129,0)),"")</f>
        <v/>
      </c>
      <c r="T49" s="497" t="str">
        <f t="shared" si="1"/>
        <v/>
      </c>
      <c r="U49" s="498" t="str">
        <f t="shared" si="2"/>
        <v/>
      </c>
      <c r="V49" s="536" t="str">
        <f t="shared" si="3"/>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0"/>
        <v/>
      </c>
      <c r="AE49" s="82"/>
      <c r="AF49" s="82"/>
      <c r="AG49" s="506" t="str">
        <f t="shared" si="4"/>
        <v/>
      </c>
      <c r="AH49" s="520" t="str">
        <f t="shared" si="5"/>
        <v/>
      </c>
      <c r="AI49" s="521" t="str">
        <f>IF(AH49="Check Data","Check Data",IFERROR(VLOOKUP(AH49,'G-4 Temporal multipliers'!$A$4:$C$36,3,FALSE),""))</f>
        <v/>
      </c>
      <c r="AJ49" s="497" t="str">
        <f>IF(S49="","",VLOOKUP(S49,'G-3 Multipliers'!$A$2:$E$129,4,FALSE))</f>
        <v/>
      </c>
      <c r="AK49" s="506" t="str">
        <f t="shared" si="6"/>
        <v/>
      </c>
      <c r="AL49" s="506" t="str">
        <f t="shared" si="7"/>
        <v/>
      </c>
      <c r="AM49" s="539" t="str">
        <f>IFERROR(IF(F49="","",IF(AH49="Check Data ⚠","Check Data ⚠",VLOOKUP(AL49, 'G-3 Multipliers'!$P$2:$Q$6,2,FALSE))),"")</f>
        <v/>
      </c>
      <c r="AN49" s="512" t="str">
        <f t="shared" si="8"/>
        <v/>
      </c>
      <c r="AO49" s="238"/>
      <c r="AP49" s="239"/>
    </row>
    <row r="50" spans="1:42" x14ac:dyDescent="0.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c r="R50" s="237"/>
      <c r="S50" s="391" t="str">
        <f>IFERROR(INDEX('G-1 All Habitats'!$B$3:$B$129,MATCH(R50,'G-1 All Habitats'!$A$3:$A$129,0)),"")</f>
        <v/>
      </c>
      <c r="T50" s="497" t="str">
        <f t="shared" si="1"/>
        <v/>
      </c>
      <c r="U50" s="498" t="str">
        <f t="shared" si="2"/>
        <v/>
      </c>
      <c r="V50" s="536" t="str">
        <f t="shared" si="3"/>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0"/>
        <v/>
      </c>
      <c r="AE50" s="82"/>
      <c r="AF50" s="82"/>
      <c r="AG50" s="506" t="str">
        <f t="shared" si="4"/>
        <v/>
      </c>
      <c r="AH50" s="520" t="str">
        <f t="shared" si="5"/>
        <v/>
      </c>
      <c r="AI50" s="521" t="str">
        <f>IF(AH50="Check Data","Check Data",IFERROR(VLOOKUP(AH50,'G-4 Temporal multipliers'!$A$4:$C$36,3,FALSE),""))</f>
        <v/>
      </c>
      <c r="AJ50" s="497" t="str">
        <f>IF(S50="","",VLOOKUP(S50,'G-3 Multipliers'!$A$2:$E$129,4,FALSE))</f>
        <v/>
      </c>
      <c r="AK50" s="506" t="str">
        <f t="shared" si="6"/>
        <v/>
      </c>
      <c r="AL50" s="506" t="str">
        <f t="shared" si="7"/>
        <v/>
      </c>
      <c r="AM50" s="539" t="str">
        <f>IFERROR(IF(F50="","",IF(AH50="Check Data ⚠","Check Data ⚠",VLOOKUP(AL50, 'G-3 Multipliers'!$P$2:$Q$6,2,FALSE))),"")</f>
        <v/>
      </c>
      <c r="AN50" s="512" t="str">
        <f t="shared" si="8"/>
        <v/>
      </c>
      <c r="AO50" s="238"/>
      <c r="AP50" s="239"/>
    </row>
    <row r="51" spans="1:42" x14ac:dyDescent="0.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c r="R51" s="237"/>
      <c r="S51" s="391" t="str">
        <f>IFERROR(INDEX('G-1 All Habitats'!$B$3:$B$129,MATCH(R51,'G-1 All Habitats'!$A$3:$A$129,0)),"")</f>
        <v/>
      </c>
      <c r="T51" s="497" t="str">
        <f t="shared" si="1"/>
        <v/>
      </c>
      <c r="U51" s="498" t="str">
        <f t="shared" si="2"/>
        <v/>
      </c>
      <c r="V51" s="536" t="str">
        <f t="shared" si="3"/>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0"/>
        <v/>
      </c>
      <c r="AE51" s="82"/>
      <c r="AF51" s="82"/>
      <c r="AG51" s="506" t="str">
        <f t="shared" si="4"/>
        <v/>
      </c>
      <c r="AH51" s="520" t="str">
        <f t="shared" si="5"/>
        <v/>
      </c>
      <c r="AI51" s="521" t="str">
        <f>IF(AH51="Check Data","Check Data",IFERROR(VLOOKUP(AH51,'G-4 Temporal multipliers'!$A$4:$C$36,3,FALSE),""))</f>
        <v/>
      </c>
      <c r="AJ51" s="497" t="str">
        <f>IF(S51="","",VLOOKUP(S51,'G-3 Multipliers'!$A$2:$E$129,4,FALSE))</f>
        <v/>
      </c>
      <c r="AK51" s="506" t="str">
        <f t="shared" si="6"/>
        <v/>
      </c>
      <c r="AL51" s="506" t="str">
        <f t="shared" si="7"/>
        <v/>
      </c>
      <c r="AM51" s="539" t="str">
        <f>IFERROR(IF(F51="","",IF(AH51="Check Data ⚠","Check Data ⚠",VLOOKUP(AL51, 'G-3 Multipliers'!$P$2:$Q$6,2,FALSE))),"")</f>
        <v/>
      </c>
      <c r="AN51" s="512" t="str">
        <f t="shared" si="8"/>
        <v/>
      </c>
      <c r="AO51" s="238"/>
      <c r="AP51" s="239"/>
    </row>
    <row r="52" spans="1:42" x14ac:dyDescent="0.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c r="R52" s="237"/>
      <c r="S52" s="391" t="str">
        <f>IFERROR(INDEX('G-1 All Habitats'!$B$3:$B$129,MATCH(R52,'G-1 All Habitats'!$A$3:$A$129,0)),"")</f>
        <v/>
      </c>
      <c r="T52" s="497" t="str">
        <f t="shared" si="1"/>
        <v/>
      </c>
      <c r="U52" s="498" t="str">
        <f t="shared" si="2"/>
        <v/>
      </c>
      <c r="V52" s="536" t="str">
        <f t="shared" si="3"/>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0"/>
        <v/>
      </c>
      <c r="AE52" s="82"/>
      <c r="AF52" s="82"/>
      <c r="AG52" s="506" t="str">
        <f t="shared" si="4"/>
        <v/>
      </c>
      <c r="AH52" s="520" t="str">
        <f t="shared" si="5"/>
        <v/>
      </c>
      <c r="AI52" s="521" t="str">
        <f>IF(AH52="Check Data","Check Data",IFERROR(VLOOKUP(AH52,'G-4 Temporal multipliers'!$A$4:$C$36,3,FALSE),""))</f>
        <v/>
      </c>
      <c r="AJ52" s="497" t="str">
        <f>IF(S52="","",VLOOKUP(S52,'G-3 Multipliers'!$A$2:$E$129,4,FALSE))</f>
        <v/>
      </c>
      <c r="AK52" s="506" t="str">
        <f t="shared" si="6"/>
        <v/>
      </c>
      <c r="AL52" s="506" t="str">
        <f t="shared" si="7"/>
        <v/>
      </c>
      <c r="AM52" s="539" t="str">
        <f>IFERROR(IF(F52="","",IF(AH52="Check Data ⚠","Check Data ⚠",VLOOKUP(AL52, 'G-3 Multipliers'!$P$2:$Q$6,2,FALSE))),"")</f>
        <v/>
      </c>
      <c r="AN52" s="512" t="str">
        <f t="shared" si="8"/>
        <v/>
      </c>
      <c r="AO52" s="238"/>
      <c r="AP52" s="239"/>
    </row>
    <row r="53" spans="1:42" x14ac:dyDescent="0.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c r="R53" s="237"/>
      <c r="S53" s="391" t="str">
        <f>IFERROR(INDEX('G-1 All Habitats'!$B$3:$B$129,MATCH(R53,'G-1 All Habitats'!$A$3:$A$129,0)),"")</f>
        <v/>
      </c>
      <c r="T53" s="497" t="str">
        <f t="shared" si="1"/>
        <v/>
      </c>
      <c r="U53" s="498" t="str">
        <f t="shared" si="2"/>
        <v/>
      </c>
      <c r="V53" s="536" t="str">
        <f t="shared" si="3"/>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0"/>
        <v/>
      </c>
      <c r="AE53" s="82"/>
      <c r="AF53" s="82"/>
      <c r="AG53" s="506" t="str">
        <f t="shared" si="4"/>
        <v/>
      </c>
      <c r="AH53" s="520" t="str">
        <f t="shared" si="5"/>
        <v/>
      </c>
      <c r="AI53" s="521" t="str">
        <f>IF(AH53="Check Data","Check Data",IFERROR(VLOOKUP(AH53,'G-4 Temporal multipliers'!$A$4:$C$36,3,FALSE),""))</f>
        <v/>
      </c>
      <c r="AJ53" s="497" t="str">
        <f>IF(S53="","",VLOOKUP(S53,'G-3 Multipliers'!$A$2:$E$129,4,FALSE))</f>
        <v/>
      </c>
      <c r="AK53" s="506" t="str">
        <f t="shared" si="6"/>
        <v/>
      </c>
      <c r="AL53" s="506" t="str">
        <f t="shared" si="7"/>
        <v/>
      </c>
      <c r="AM53" s="539" t="str">
        <f>IFERROR(IF(F53="","",IF(AH53="Check Data ⚠","Check Data ⚠",VLOOKUP(AL53, 'G-3 Multipliers'!$P$2:$Q$6,2,FALSE))),"")</f>
        <v/>
      </c>
      <c r="AN53" s="512" t="str">
        <f t="shared" si="8"/>
        <v/>
      </c>
      <c r="AO53" s="238"/>
      <c r="AP53" s="239"/>
    </row>
    <row r="54" spans="1:42" x14ac:dyDescent="0.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c r="R54" s="237"/>
      <c r="S54" s="391" t="str">
        <f>IFERROR(INDEX('G-1 All Habitats'!$B$3:$B$129,MATCH(R54,'G-1 All Habitats'!$A$3:$A$129,0)),"")</f>
        <v/>
      </c>
      <c r="T54" s="497" t="str">
        <f t="shared" si="1"/>
        <v/>
      </c>
      <c r="U54" s="498" t="str">
        <f t="shared" si="2"/>
        <v/>
      </c>
      <c r="V54" s="536" t="str">
        <f t="shared" si="3"/>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0"/>
        <v/>
      </c>
      <c r="AE54" s="82"/>
      <c r="AF54" s="82"/>
      <c r="AG54" s="506" t="str">
        <f t="shared" si="4"/>
        <v/>
      </c>
      <c r="AH54" s="520" t="str">
        <f t="shared" si="5"/>
        <v/>
      </c>
      <c r="AI54" s="521" t="str">
        <f>IF(AH54="Check Data","Check Data",IFERROR(VLOOKUP(AH54,'G-4 Temporal multipliers'!$A$4:$C$36,3,FALSE),""))</f>
        <v/>
      </c>
      <c r="AJ54" s="497" t="str">
        <f>IF(S54="","",VLOOKUP(S54,'G-3 Multipliers'!$A$2:$E$129,4,FALSE))</f>
        <v/>
      </c>
      <c r="AK54" s="506" t="str">
        <f t="shared" si="6"/>
        <v/>
      </c>
      <c r="AL54" s="506" t="str">
        <f t="shared" si="7"/>
        <v/>
      </c>
      <c r="AM54" s="539" t="str">
        <f>IFERROR(IF(F54="","",IF(AH54="Check Data ⚠","Check Data ⚠",VLOOKUP(AL54, 'G-3 Multipliers'!$P$2:$Q$6,2,FALSE))),"")</f>
        <v/>
      </c>
      <c r="AN54" s="512" t="str">
        <f t="shared" si="8"/>
        <v/>
      </c>
      <c r="AO54" s="238"/>
      <c r="AP54" s="239"/>
    </row>
    <row r="55" spans="1:42" x14ac:dyDescent="0.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c r="R55" s="237"/>
      <c r="S55" s="391" t="str">
        <f>IFERROR(INDEX('G-1 All Habitats'!$B$3:$B$129,MATCH(R55,'G-1 All Habitats'!$A$3:$A$129,0)),"")</f>
        <v/>
      </c>
      <c r="T55" s="497" t="str">
        <f t="shared" si="1"/>
        <v/>
      </c>
      <c r="U55" s="498" t="str">
        <f t="shared" si="2"/>
        <v/>
      </c>
      <c r="V55" s="536" t="str">
        <f t="shared" si="3"/>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0"/>
        <v/>
      </c>
      <c r="AE55" s="82"/>
      <c r="AF55" s="82"/>
      <c r="AG55" s="506" t="str">
        <f t="shared" si="4"/>
        <v/>
      </c>
      <c r="AH55" s="520" t="str">
        <f t="shared" si="5"/>
        <v/>
      </c>
      <c r="AI55" s="521" t="str">
        <f>IF(AH55="Check Data","Check Data",IFERROR(VLOOKUP(AH55,'G-4 Temporal multipliers'!$A$4:$C$36,3,FALSE),""))</f>
        <v/>
      </c>
      <c r="AJ55" s="497" t="str">
        <f>IF(S55="","",VLOOKUP(S55,'G-3 Multipliers'!$A$2:$E$129,4,FALSE))</f>
        <v/>
      </c>
      <c r="AK55" s="506" t="str">
        <f t="shared" si="6"/>
        <v/>
      </c>
      <c r="AL55" s="506" t="str">
        <f t="shared" si="7"/>
        <v/>
      </c>
      <c r="AM55" s="539" t="str">
        <f>IFERROR(IF(F55="","",IF(AH55="Check Data ⚠","Check Data ⚠",VLOOKUP(AL55, 'G-3 Multipliers'!$P$2:$Q$6,2,FALSE))),"")</f>
        <v/>
      </c>
      <c r="AN55" s="512" t="str">
        <f t="shared" si="8"/>
        <v/>
      </c>
      <c r="AO55" s="238"/>
      <c r="AP55" s="239"/>
    </row>
    <row r="56" spans="1:42" x14ac:dyDescent="0.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c r="R56" s="237"/>
      <c r="S56" s="391" t="str">
        <f>IFERROR(INDEX('G-1 All Habitats'!$B$3:$B$129,MATCH(R56,'G-1 All Habitats'!$A$3:$A$129,0)),"")</f>
        <v/>
      </c>
      <c r="T56" s="497" t="str">
        <f t="shared" si="1"/>
        <v/>
      </c>
      <c r="U56" s="498" t="str">
        <f t="shared" si="2"/>
        <v/>
      </c>
      <c r="V56" s="536" t="str">
        <f t="shared" si="3"/>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0"/>
        <v/>
      </c>
      <c r="AE56" s="82"/>
      <c r="AF56" s="82"/>
      <c r="AG56" s="506" t="str">
        <f t="shared" si="4"/>
        <v/>
      </c>
      <c r="AH56" s="520" t="str">
        <f t="shared" si="5"/>
        <v/>
      </c>
      <c r="AI56" s="521" t="str">
        <f>IF(AH56="Check Data","Check Data",IFERROR(VLOOKUP(AH56,'G-4 Temporal multipliers'!$A$4:$C$36,3,FALSE),""))</f>
        <v/>
      </c>
      <c r="AJ56" s="497" t="str">
        <f>IF(S56="","",VLOOKUP(S56,'G-3 Multipliers'!$A$2:$E$129,4,FALSE))</f>
        <v/>
      </c>
      <c r="AK56" s="506" t="str">
        <f t="shared" si="6"/>
        <v/>
      </c>
      <c r="AL56" s="506" t="str">
        <f t="shared" si="7"/>
        <v/>
      </c>
      <c r="AM56" s="539" t="str">
        <f>IFERROR(IF(F56="","",IF(AH56="Check Data ⚠","Check Data ⚠",VLOOKUP(AL56, 'G-3 Multipliers'!$P$2:$Q$6,2,FALSE))),"")</f>
        <v/>
      </c>
      <c r="AN56" s="512" t="str">
        <f t="shared" si="8"/>
        <v/>
      </c>
      <c r="AO56" s="238"/>
      <c r="AP56" s="239"/>
    </row>
    <row r="57" spans="1:42" x14ac:dyDescent="0.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c r="R57" s="237"/>
      <c r="S57" s="391" t="str">
        <f>IFERROR(INDEX('G-1 All Habitats'!$B$3:$B$129,MATCH(R57,'G-1 All Habitats'!$A$3:$A$129,0)),"")</f>
        <v/>
      </c>
      <c r="T57" s="497" t="str">
        <f t="shared" si="1"/>
        <v/>
      </c>
      <c r="U57" s="498" t="str">
        <f t="shared" si="2"/>
        <v/>
      </c>
      <c r="V57" s="536" t="str">
        <f t="shared" si="3"/>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0"/>
        <v/>
      </c>
      <c r="AE57" s="82"/>
      <c r="AF57" s="82"/>
      <c r="AG57" s="506" t="str">
        <f t="shared" si="4"/>
        <v/>
      </c>
      <c r="AH57" s="520" t="str">
        <f t="shared" si="5"/>
        <v/>
      </c>
      <c r="AI57" s="521" t="str">
        <f>IF(AH57="Check Data","Check Data",IFERROR(VLOOKUP(AH57,'G-4 Temporal multipliers'!$A$4:$C$36,3,FALSE),""))</f>
        <v/>
      </c>
      <c r="AJ57" s="497" t="str">
        <f>IF(S57="","",VLOOKUP(S57,'G-3 Multipliers'!$A$2:$E$129,4,FALSE))</f>
        <v/>
      </c>
      <c r="AK57" s="506" t="str">
        <f t="shared" si="6"/>
        <v/>
      </c>
      <c r="AL57" s="506" t="str">
        <f t="shared" si="7"/>
        <v/>
      </c>
      <c r="AM57" s="539" t="str">
        <f>IFERROR(IF(F57="","",IF(AH57="Check Data ⚠","Check Data ⚠",VLOOKUP(AL57, 'G-3 Multipliers'!$P$2:$Q$6,2,FALSE))),"")</f>
        <v/>
      </c>
      <c r="AN57" s="512" t="str">
        <f t="shared" si="8"/>
        <v/>
      </c>
      <c r="AO57" s="238"/>
      <c r="AP57" s="239"/>
    </row>
    <row r="58" spans="1:42" x14ac:dyDescent="0.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c r="R58" s="237"/>
      <c r="S58" s="391" t="str">
        <f>IFERROR(INDEX('G-1 All Habitats'!$B$3:$B$129,MATCH(R58,'G-1 All Habitats'!$A$3:$A$129,0)),"")</f>
        <v/>
      </c>
      <c r="T58" s="497" t="str">
        <f t="shared" si="1"/>
        <v/>
      </c>
      <c r="U58" s="498" t="str">
        <f t="shared" si="2"/>
        <v/>
      </c>
      <c r="V58" s="536" t="str">
        <f t="shared" si="3"/>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0"/>
        <v/>
      </c>
      <c r="AE58" s="82"/>
      <c r="AF58" s="82"/>
      <c r="AG58" s="506" t="str">
        <f t="shared" si="4"/>
        <v/>
      </c>
      <c r="AH58" s="520" t="str">
        <f t="shared" si="5"/>
        <v/>
      </c>
      <c r="AI58" s="521" t="str">
        <f>IF(AH58="Check Data","Check Data",IFERROR(VLOOKUP(AH58,'G-4 Temporal multipliers'!$A$4:$C$36,3,FALSE),""))</f>
        <v/>
      </c>
      <c r="AJ58" s="497" t="str">
        <f>IF(S58="","",VLOOKUP(S58,'G-3 Multipliers'!$A$2:$E$129,4,FALSE))</f>
        <v/>
      </c>
      <c r="AK58" s="506" t="str">
        <f t="shared" si="6"/>
        <v/>
      </c>
      <c r="AL58" s="506" t="str">
        <f t="shared" si="7"/>
        <v/>
      </c>
      <c r="AM58" s="539" t="str">
        <f>IFERROR(IF(F58="","",IF(AH58="Check Data ⚠","Check Data ⚠",VLOOKUP(AL58, 'G-3 Multipliers'!$P$2:$Q$6,2,FALSE))),"")</f>
        <v/>
      </c>
      <c r="AN58" s="512" t="str">
        <f t="shared" si="8"/>
        <v/>
      </c>
      <c r="AO58" s="238"/>
      <c r="AP58" s="239"/>
    </row>
    <row r="59" spans="1:42" x14ac:dyDescent="0.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c r="R59" s="237"/>
      <c r="S59" s="391" t="str">
        <f>IFERROR(INDEX('G-1 All Habitats'!$B$3:$B$129,MATCH(R59,'G-1 All Habitats'!$A$3:$A$129,0)),"")</f>
        <v/>
      </c>
      <c r="T59" s="497" t="str">
        <f t="shared" si="1"/>
        <v/>
      </c>
      <c r="U59" s="498" t="str">
        <f t="shared" si="2"/>
        <v/>
      </c>
      <c r="V59" s="536" t="str">
        <f t="shared" si="3"/>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0"/>
        <v/>
      </c>
      <c r="AE59" s="82"/>
      <c r="AF59" s="82"/>
      <c r="AG59" s="506" t="str">
        <f t="shared" si="4"/>
        <v/>
      </c>
      <c r="AH59" s="520" t="str">
        <f t="shared" si="5"/>
        <v/>
      </c>
      <c r="AI59" s="521" t="str">
        <f>IF(AH59="Check Data","Check Data",IFERROR(VLOOKUP(AH59,'G-4 Temporal multipliers'!$A$4:$C$36,3,FALSE),""))</f>
        <v/>
      </c>
      <c r="AJ59" s="497" t="str">
        <f>IF(S59="","",VLOOKUP(S59,'G-3 Multipliers'!$A$2:$E$129,4,FALSE))</f>
        <v/>
      </c>
      <c r="AK59" s="506" t="str">
        <f t="shared" si="6"/>
        <v/>
      </c>
      <c r="AL59" s="506" t="str">
        <f t="shared" si="7"/>
        <v/>
      </c>
      <c r="AM59" s="539" t="str">
        <f>IFERROR(IF(F59="","",IF(AH59="Check Data ⚠","Check Data ⚠",VLOOKUP(AL59, 'G-3 Multipliers'!$P$2:$Q$6,2,FALSE))),"")</f>
        <v/>
      </c>
      <c r="AN59" s="512" t="str">
        <f t="shared" si="8"/>
        <v/>
      </c>
      <c r="AO59" s="238"/>
      <c r="AP59" s="239"/>
    </row>
    <row r="60" spans="1:42" x14ac:dyDescent="0.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c r="R60" s="237"/>
      <c r="S60" s="391" t="str">
        <f>IFERROR(INDEX('G-1 All Habitats'!$B$3:$B$129,MATCH(R60,'G-1 All Habitats'!$A$3:$A$129,0)),"")</f>
        <v/>
      </c>
      <c r="T60" s="497" t="str">
        <f t="shared" si="1"/>
        <v/>
      </c>
      <c r="U60" s="498" t="str">
        <f t="shared" si="2"/>
        <v/>
      </c>
      <c r="V60" s="536" t="str">
        <f t="shared" si="3"/>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0"/>
        <v/>
      </c>
      <c r="AE60" s="82"/>
      <c r="AF60" s="82"/>
      <c r="AG60" s="506" t="str">
        <f t="shared" si="4"/>
        <v/>
      </c>
      <c r="AH60" s="520" t="str">
        <f t="shared" si="5"/>
        <v/>
      </c>
      <c r="AI60" s="521" t="str">
        <f>IF(AH60="Check Data","Check Data",IFERROR(VLOOKUP(AH60,'G-4 Temporal multipliers'!$A$4:$C$36,3,FALSE),""))</f>
        <v/>
      </c>
      <c r="AJ60" s="497" t="str">
        <f>IF(S60="","",VLOOKUP(S60,'G-3 Multipliers'!$A$2:$E$129,4,FALSE))</f>
        <v/>
      </c>
      <c r="AK60" s="506" t="str">
        <f t="shared" si="6"/>
        <v/>
      </c>
      <c r="AL60" s="506" t="str">
        <f t="shared" si="7"/>
        <v/>
      </c>
      <c r="AM60" s="539" t="str">
        <f>IFERROR(IF(F60="","",IF(AH60="Check Data ⚠","Check Data ⚠",VLOOKUP(AL60, 'G-3 Multipliers'!$P$2:$Q$6,2,FALSE))),"")</f>
        <v/>
      </c>
      <c r="AN60" s="512" t="str">
        <f t="shared" si="8"/>
        <v/>
      </c>
      <c r="AO60" s="238"/>
      <c r="AP60" s="239"/>
    </row>
    <row r="61" spans="1:42" x14ac:dyDescent="0.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c r="R61" s="237"/>
      <c r="S61" s="391" t="str">
        <f>IFERROR(INDEX('G-1 All Habitats'!$B$3:$B$129,MATCH(R61,'G-1 All Habitats'!$A$3:$A$129,0)),"")</f>
        <v/>
      </c>
      <c r="T61" s="497" t="str">
        <f t="shared" si="1"/>
        <v/>
      </c>
      <c r="U61" s="498" t="str">
        <f t="shared" si="2"/>
        <v/>
      </c>
      <c r="V61" s="536" t="str">
        <f t="shared" si="3"/>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0"/>
        <v/>
      </c>
      <c r="AE61" s="82"/>
      <c r="AF61" s="82"/>
      <c r="AG61" s="506" t="str">
        <f t="shared" si="4"/>
        <v/>
      </c>
      <c r="AH61" s="520" t="str">
        <f t="shared" si="5"/>
        <v/>
      </c>
      <c r="AI61" s="521" t="str">
        <f>IF(AH61="Check Data","Check Data",IFERROR(VLOOKUP(AH61,'G-4 Temporal multipliers'!$A$4:$C$36,3,FALSE),""))</f>
        <v/>
      </c>
      <c r="AJ61" s="497" t="str">
        <f>IF(S61="","",VLOOKUP(S61,'G-3 Multipliers'!$A$2:$E$129,4,FALSE))</f>
        <v/>
      </c>
      <c r="AK61" s="506" t="str">
        <f t="shared" si="6"/>
        <v/>
      </c>
      <c r="AL61" s="506" t="str">
        <f t="shared" si="7"/>
        <v/>
      </c>
      <c r="AM61" s="539" t="str">
        <f>IFERROR(IF(F61="","",IF(AH61="Check Data ⚠","Check Data ⚠",VLOOKUP(AL61, 'G-3 Multipliers'!$P$2:$Q$6,2,FALSE))),"")</f>
        <v/>
      </c>
      <c r="AN61" s="512" t="str">
        <f t="shared" si="8"/>
        <v/>
      </c>
      <c r="AO61" s="238"/>
      <c r="AP61" s="239"/>
    </row>
    <row r="62" spans="1:42" x14ac:dyDescent="0.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c r="R62" s="237"/>
      <c r="S62" s="391" t="str">
        <f>IFERROR(INDEX('G-1 All Habitats'!$B$3:$B$129,MATCH(R62,'G-1 All Habitats'!$A$3:$A$129,0)),"")</f>
        <v/>
      </c>
      <c r="T62" s="497" t="str">
        <f t="shared" si="1"/>
        <v/>
      </c>
      <c r="U62" s="498" t="str">
        <f t="shared" si="2"/>
        <v/>
      </c>
      <c r="V62" s="536" t="str">
        <f t="shared" si="3"/>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0"/>
        <v/>
      </c>
      <c r="AE62" s="82"/>
      <c r="AF62" s="82"/>
      <c r="AG62" s="506" t="str">
        <f t="shared" si="4"/>
        <v/>
      </c>
      <c r="AH62" s="520" t="str">
        <f t="shared" si="5"/>
        <v/>
      </c>
      <c r="AI62" s="521" t="str">
        <f>IF(AH62="Check Data","Check Data",IFERROR(VLOOKUP(AH62,'G-4 Temporal multipliers'!$A$4:$C$36,3,FALSE),""))</f>
        <v/>
      </c>
      <c r="AJ62" s="497" t="str">
        <f>IF(S62="","",VLOOKUP(S62,'G-3 Multipliers'!$A$2:$E$129,4,FALSE))</f>
        <v/>
      </c>
      <c r="AK62" s="506" t="str">
        <f t="shared" si="6"/>
        <v/>
      </c>
      <c r="AL62" s="506" t="str">
        <f t="shared" si="7"/>
        <v/>
      </c>
      <c r="AM62" s="539" t="str">
        <f>IFERROR(IF(F62="","",IF(AH62="Check Data ⚠","Check Data ⚠",VLOOKUP(AL62, 'G-3 Multipliers'!$P$2:$Q$6,2,FALSE))),"")</f>
        <v/>
      </c>
      <c r="AN62" s="512" t="str">
        <f t="shared" si="8"/>
        <v/>
      </c>
      <c r="AO62" s="238"/>
      <c r="AP62" s="239"/>
    </row>
    <row r="63" spans="1:42" x14ac:dyDescent="0.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c r="R63" s="237"/>
      <c r="S63" s="391" t="str">
        <f>IFERROR(INDEX('G-1 All Habitats'!$B$3:$B$129,MATCH(R63,'G-1 All Habitats'!$A$3:$A$129,0)),"")</f>
        <v/>
      </c>
      <c r="T63" s="497" t="str">
        <f t="shared" si="1"/>
        <v/>
      </c>
      <c r="U63" s="498" t="str">
        <f t="shared" si="2"/>
        <v/>
      </c>
      <c r="V63" s="536" t="str">
        <f t="shared" si="3"/>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0"/>
        <v/>
      </c>
      <c r="AE63" s="82"/>
      <c r="AF63" s="82"/>
      <c r="AG63" s="506" t="str">
        <f t="shared" si="4"/>
        <v/>
      </c>
      <c r="AH63" s="520" t="str">
        <f t="shared" si="5"/>
        <v/>
      </c>
      <c r="AI63" s="521" t="str">
        <f>IF(AH63="Check Data","Check Data",IFERROR(VLOOKUP(AH63,'G-4 Temporal multipliers'!$A$4:$C$36,3,FALSE),""))</f>
        <v/>
      </c>
      <c r="AJ63" s="497" t="str">
        <f>IF(S63="","",VLOOKUP(S63,'G-3 Multipliers'!$A$2:$E$129,4,FALSE))</f>
        <v/>
      </c>
      <c r="AK63" s="506" t="str">
        <f t="shared" si="6"/>
        <v/>
      </c>
      <c r="AL63" s="506" t="str">
        <f t="shared" si="7"/>
        <v/>
      </c>
      <c r="AM63" s="539" t="str">
        <f>IFERROR(IF(F63="","",IF(AH63="Check Data ⚠","Check Data ⚠",VLOOKUP(AL63, 'G-3 Multipliers'!$P$2:$Q$6,2,FALSE))),"")</f>
        <v/>
      </c>
      <c r="AN63" s="512" t="str">
        <f t="shared" si="8"/>
        <v/>
      </c>
      <c r="AO63" s="238"/>
      <c r="AP63" s="239"/>
    </row>
    <row r="64" spans="1:42" x14ac:dyDescent="0.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c r="R64" s="237"/>
      <c r="S64" s="391" t="str">
        <f>IFERROR(INDEX('G-1 All Habitats'!$B$3:$B$129,MATCH(R64,'G-1 All Habitats'!$A$3:$A$129,0)),"")</f>
        <v/>
      </c>
      <c r="T64" s="497" t="str">
        <f t="shared" si="1"/>
        <v/>
      </c>
      <c r="U64" s="498" t="str">
        <f t="shared" si="2"/>
        <v/>
      </c>
      <c r="V64" s="536" t="str">
        <f t="shared" si="3"/>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0"/>
        <v/>
      </c>
      <c r="AE64" s="82"/>
      <c r="AF64" s="82"/>
      <c r="AG64" s="506" t="str">
        <f t="shared" si="4"/>
        <v/>
      </c>
      <c r="AH64" s="520" t="str">
        <f t="shared" si="5"/>
        <v/>
      </c>
      <c r="AI64" s="521" t="str">
        <f>IF(AH64="Check Data","Check Data",IFERROR(VLOOKUP(AH64,'G-4 Temporal multipliers'!$A$4:$C$36,3,FALSE),""))</f>
        <v/>
      </c>
      <c r="AJ64" s="497" t="str">
        <f>IF(S64="","",VLOOKUP(S64,'G-3 Multipliers'!$A$2:$E$129,4,FALSE))</f>
        <v/>
      </c>
      <c r="AK64" s="506" t="str">
        <f t="shared" si="6"/>
        <v/>
      </c>
      <c r="AL64" s="506" t="str">
        <f t="shared" si="7"/>
        <v/>
      </c>
      <c r="AM64" s="539" t="str">
        <f>IFERROR(IF(F64="","",IF(AH64="Check Data ⚠","Check Data ⚠",VLOOKUP(AL64, 'G-3 Multipliers'!$P$2:$Q$6,2,FALSE))),"")</f>
        <v/>
      </c>
      <c r="AN64" s="512" t="str">
        <f t="shared" si="8"/>
        <v/>
      </c>
      <c r="AO64" s="238"/>
      <c r="AP64" s="239"/>
    </row>
    <row r="65" spans="1:42" x14ac:dyDescent="0.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c r="R65" s="237"/>
      <c r="S65" s="391" t="str">
        <f>IFERROR(INDEX('G-1 All Habitats'!$B$3:$B$129,MATCH(R65,'G-1 All Habitats'!$A$3:$A$129,0)),"")</f>
        <v/>
      </c>
      <c r="T65" s="497" t="str">
        <f t="shared" si="1"/>
        <v/>
      </c>
      <c r="U65" s="498" t="str">
        <f t="shared" si="2"/>
        <v/>
      </c>
      <c r="V65" s="536" t="str">
        <f t="shared" si="3"/>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0"/>
        <v/>
      </c>
      <c r="AE65" s="82"/>
      <c r="AF65" s="82"/>
      <c r="AG65" s="506" t="str">
        <f t="shared" si="4"/>
        <v/>
      </c>
      <c r="AH65" s="520" t="str">
        <f t="shared" si="5"/>
        <v/>
      </c>
      <c r="AI65" s="521" t="str">
        <f>IF(AH65="Check Data","Check Data",IFERROR(VLOOKUP(AH65,'G-4 Temporal multipliers'!$A$4:$C$36,3,FALSE),""))</f>
        <v/>
      </c>
      <c r="AJ65" s="497" t="str">
        <f>IF(S65="","",VLOOKUP(S65,'G-3 Multipliers'!$A$2:$E$129,4,FALSE))</f>
        <v/>
      </c>
      <c r="AK65" s="506" t="str">
        <f t="shared" si="6"/>
        <v/>
      </c>
      <c r="AL65" s="506" t="str">
        <f t="shared" si="7"/>
        <v/>
      </c>
      <c r="AM65" s="539" t="str">
        <f>IFERROR(IF(F65="","",IF(AH65="Check Data ⚠","Check Data ⚠",VLOOKUP(AL65, 'G-3 Multipliers'!$P$2:$Q$6,2,FALSE))),"")</f>
        <v/>
      </c>
      <c r="AN65" s="512" t="str">
        <f t="shared" si="8"/>
        <v/>
      </c>
      <c r="AO65" s="238"/>
      <c r="AP65" s="239"/>
    </row>
    <row r="66" spans="1:42" x14ac:dyDescent="0.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c r="R66" s="237"/>
      <c r="S66" s="391" t="str">
        <f>IFERROR(INDEX('G-1 All Habitats'!$B$3:$B$129,MATCH(R66,'G-1 All Habitats'!$A$3:$A$129,0)),"")</f>
        <v/>
      </c>
      <c r="T66" s="497" t="str">
        <f t="shared" si="1"/>
        <v/>
      </c>
      <c r="U66" s="498" t="str">
        <f t="shared" si="2"/>
        <v/>
      </c>
      <c r="V66" s="536" t="str">
        <f t="shared" si="3"/>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0"/>
        <v/>
      </c>
      <c r="AE66" s="82"/>
      <c r="AF66" s="82"/>
      <c r="AG66" s="506" t="str">
        <f t="shared" si="4"/>
        <v/>
      </c>
      <c r="AH66" s="520" t="str">
        <f t="shared" si="5"/>
        <v/>
      </c>
      <c r="AI66" s="521" t="str">
        <f>IF(AH66="Check Data","Check Data",IFERROR(VLOOKUP(AH66,'G-4 Temporal multipliers'!$A$4:$C$36,3,FALSE),""))</f>
        <v/>
      </c>
      <c r="AJ66" s="497" t="str">
        <f>IF(S66="","",VLOOKUP(S66,'G-3 Multipliers'!$A$2:$E$129,4,FALSE))</f>
        <v/>
      </c>
      <c r="AK66" s="506" t="str">
        <f t="shared" si="6"/>
        <v/>
      </c>
      <c r="AL66" s="506" t="str">
        <f t="shared" si="7"/>
        <v/>
      </c>
      <c r="AM66" s="539" t="str">
        <f>IFERROR(IF(F66="","",IF(AH66="Check Data ⚠","Check Data ⚠",VLOOKUP(AL66, 'G-3 Multipliers'!$P$2:$Q$6,2,FALSE))),"")</f>
        <v/>
      </c>
      <c r="AN66" s="512" t="str">
        <f t="shared" si="8"/>
        <v/>
      </c>
      <c r="AO66" s="238"/>
      <c r="AP66" s="239"/>
    </row>
    <row r="67" spans="1:42" x14ac:dyDescent="0.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c r="R67" s="237"/>
      <c r="S67" s="391" t="str">
        <f>IFERROR(INDEX('G-1 All Habitats'!$B$3:$B$129,MATCH(R67,'G-1 All Habitats'!$A$3:$A$129,0)),"")</f>
        <v/>
      </c>
      <c r="T67" s="497" t="str">
        <f t="shared" si="1"/>
        <v/>
      </c>
      <c r="U67" s="498" t="str">
        <f t="shared" si="2"/>
        <v/>
      </c>
      <c r="V67" s="536" t="str">
        <f t="shared" si="3"/>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0"/>
        <v/>
      </c>
      <c r="AE67" s="82"/>
      <c r="AF67" s="82"/>
      <c r="AG67" s="506" t="str">
        <f t="shared" si="4"/>
        <v/>
      </c>
      <c r="AH67" s="520" t="str">
        <f t="shared" si="5"/>
        <v/>
      </c>
      <c r="AI67" s="521" t="str">
        <f>IF(AH67="Check Data","Check Data",IFERROR(VLOOKUP(AH67,'G-4 Temporal multipliers'!$A$4:$C$36,3,FALSE),""))</f>
        <v/>
      </c>
      <c r="AJ67" s="497" t="str">
        <f>IF(S67="","",VLOOKUP(S67,'G-3 Multipliers'!$A$2:$E$129,4,FALSE))</f>
        <v/>
      </c>
      <c r="AK67" s="506" t="str">
        <f t="shared" si="6"/>
        <v/>
      </c>
      <c r="AL67" s="506" t="str">
        <f t="shared" si="7"/>
        <v/>
      </c>
      <c r="AM67" s="539" t="str">
        <f>IFERROR(IF(F67="","",IF(AH67="Check Data ⚠","Check Data ⚠",VLOOKUP(AL67, 'G-3 Multipliers'!$P$2:$Q$6,2,FALSE))),"")</f>
        <v/>
      </c>
      <c r="AN67" s="512" t="str">
        <f t="shared" si="8"/>
        <v/>
      </c>
      <c r="AO67" s="238"/>
      <c r="AP67" s="239"/>
    </row>
    <row r="68" spans="1:42" x14ac:dyDescent="0.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c r="R68" s="237"/>
      <c r="S68" s="391" t="str">
        <f>IFERROR(INDEX('G-1 All Habitats'!$B$3:$B$129,MATCH(R68,'G-1 All Habitats'!$A$3:$A$129,0)),"")</f>
        <v/>
      </c>
      <c r="T68" s="497" t="str">
        <f t="shared" si="1"/>
        <v/>
      </c>
      <c r="U68" s="498" t="str">
        <f t="shared" si="2"/>
        <v/>
      </c>
      <c r="V68" s="536" t="str">
        <f t="shared" si="3"/>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0"/>
        <v/>
      </c>
      <c r="AE68" s="82"/>
      <c r="AF68" s="82"/>
      <c r="AG68" s="506" t="str">
        <f t="shared" si="4"/>
        <v/>
      </c>
      <c r="AH68" s="520" t="str">
        <f t="shared" si="5"/>
        <v/>
      </c>
      <c r="AI68" s="521" t="str">
        <f>IF(AH68="Check Data","Check Data",IFERROR(VLOOKUP(AH68,'G-4 Temporal multipliers'!$A$4:$C$36,3,FALSE),""))</f>
        <v/>
      </c>
      <c r="AJ68" s="497" t="str">
        <f>IF(S68="","",VLOOKUP(S68,'G-3 Multipliers'!$A$2:$E$129,4,FALSE))</f>
        <v/>
      </c>
      <c r="AK68" s="506" t="str">
        <f t="shared" si="6"/>
        <v/>
      </c>
      <c r="AL68" s="506" t="str">
        <f t="shared" si="7"/>
        <v/>
      </c>
      <c r="AM68" s="539" t="str">
        <f>IFERROR(IF(F68="","",IF(AH68="Check Data ⚠","Check Data ⚠",VLOOKUP(AL68, 'G-3 Multipliers'!$P$2:$Q$6,2,FALSE))),"")</f>
        <v/>
      </c>
      <c r="AN68" s="512" t="str">
        <f t="shared" si="8"/>
        <v/>
      </c>
      <c r="AO68" s="238"/>
      <c r="AP68" s="239"/>
    </row>
    <row r="69" spans="1:42" x14ac:dyDescent="0.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c r="R69" s="237"/>
      <c r="S69" s="391" t="str">
        <f>IFERROR(INDEX('G-1 All Habitats'!$B$3:$B$129,MATCH(R69,'G-1 All Habitats'!$A$3:$A$129,0)),"")</f>
        <v/>
      </c>
      <c r="T69" s="497" t="str">
        <f t="shared" si="1"/>
        <v/>
      </c>
      <c r="U69" s="498" t="str">
        <f t="shared" si="2"/>
        <v/>
      </c>
      <c r="V69" s="536" t="str">
        <f t="shared" si="3"/>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0"/>
        <v/>
      </c>
      <c r="AE69" s="82"/>
      <c r="AF69" s="82"/>
      <c r="AG69" s="506" t="str">
        <f t="shared" si="4"/>
        <v/>
      </c>
      <c r="AH69" s="520" t="str">
        <f t="shared" si="5"/>
        <v/>
      </c>
      <c r="AI69" s="521" t="str">
        <f>IF(AH69="Check Data","Check Data",IFERROR(VLOOKUP(AH69,'G-4 Temporal multipliers'!$A$4:$C$36,3,FALSE),""))</f>
        <v/>
      </c>
      <c r="AJ69" s="497" t="str">
        <f>IF(S69="","",VLOOKUP(S69,'G-3 Multipliers'!$A$2:$E$129,4,FALSE))</f>
        <v/>
      </c>
      <c r="AK69" s="506" t="str">
        <f t="shared" si="6"/>
        <v/>
      </c>
      <c r="AL69" s="506" t="str">
        <f t="shared" si="7"/>
        <v/>
      </c>
      <c r="AM69" s="539" t="str">
        <f>IFERROR(IF(F69="","",IF(AH69="Check Data ⚠","Check Data ⚠",VLOOKUP(AL69, 'G-3 Multipliers'!$P$2:$Q$6,2,FALSE))),"")</f>
        <v/>
      </c>
      <c r="AN69" s="512" t="str">
        <f t="shared" si="8"/>
        <v/>
      </c>
      <c r="AO69" s="238"/>
      <c r="AP69" s="239"/>
    </row>
    <row r="70" spans="1:42" x14ac:dyDescent="0.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c r="R70" s="237"/>
      <c r="S70" s="391" t="str">
        <f>IFERROR(INDEX('G-1 All Habitats'!$B$3:$B$129,MATCH(R70,'G-1 All Habitats'!$A$3:$A$129,0)),"")</f>
        <v/>
      </c>
      <c r="T70" s="497" t="str">
        <f t="shared" si="1"/>
        <v/>
      </c>
      <c r="U70" s="498" t="str">
        <f t="shared" si="2"/>
        <v/>
      </c>
      <c r="V70" s="536" t="str">
        <f t="shared" si="3"/>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0"/>
        <v/>
      </c>
      <c r="AE70" s="82"/>
      <c r="AF70" s="82"/>
      <c r="AG70" s="506" t="str">
        <f t="shared" si="4"/>
        <v/>
      </c>
      <c r="AH70" s="520" t="str">
        <f t="shared" si="5"/>
        <v/>
      </c>
      <c r="AI70" s="521" t="str">
        <f>IF(AH70="Check Data","Check Data",IFERROR(VLOOKUP(AH70,'G-4 Temporal multipliers'!$A$4:$C$36,3,FALSE),""))</f>
        <v/>
      </c>
      <c r="AJ70" s="497" t="str">
        <f>IF(S70="","",VLOOKUP(S70,'G-3 Multipliers'!$A$2:$E$129,4,FALSE))</f>
        <v/>
      </c>
      <c r="AK70" s="506" t="str">
        <f t="shared" si="6"/>
        <v/>
      </c>
      <c r="AL70" s="506" t="str">
        <f t="shared" si="7"/>
        <v/>
      </c>
      <c r="AM70" s="539" t="str">
        <f>IFERROR(IF(F70="","",IF(AH70="Check Data ⚠","Check Data ⚠",VLOOKUP(AL70, 'G-3 Multipliers'!$P$2:$Q$6,2,FALSE))),"")</f>
        <v/>
      </c>
      <c r="AN70" s="512" t="str">
        <f t="shared" si="8"/>
        <v/>
      </c>
      <c r="AO70" s="238"/>
      <c r="AP70" s="239"/>
    </row>
    <row r="71" spans="1:42" x14ac:dyDescent="0.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c r="R71" s="237"/>
      <c r="S71" s="391" t="str">
        <f>IFERROR(INDEX('G-1 All Habitats'!$B$3:$B$129,MATCH(R71,'G-1 All Habitats'!$A$3:$A$129,0)),"")</f>
        <v/>
      </c>
      <c r="T71" s="497" t="str">
        <f t="shared" si="1"/>
        <v/>
      </c>
      <c r="U71" s="498" t="str">
        <f t="shared" si="2"/>
        <v/>
      </c>
      <c r="V71" s="536" t="str">
        <f t="shared" si="3"/>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0"/>
        <v/>
      </c>
      <c r="AE71" s="82"/>
      <c r="AF71" s="82"/>
      <c r="AG71" s="506" t="str">
        <f t="shared" si="4"/>
        <v/>
      </c>
      <c r="AH71" s="520" t="str">
        <f t="shared" si="5"/>
        <v/>
      </c>
      <c r="AI71" s="521" t="str">
        <f>IF(AH71="Check Data","Check Data",IFERROR(VLOOKUP(AH71,'G-4 Temporal multipliers'!$A$4:$C$36,3,FALSE),""))</f>
        <v/>
      </c>
      <c r="AJ71" s="497" t="str">
        <f>IF(S71="","",VLOOKUP(S71,'G-3 Multipliers'!$A$2:$E$129,4,FALSE))</f>
        <v/>
      </c>
      <c r="AK71" s="506" t="str">
        <f t="shared" si="6"/>
        <v/>
      </c>
      <c r="AL71" s="506" t="str">
        <f t="shared" si="7"/>
        <v/>
      </c>
      <c r="AM71" s="539" t="str">
        <f>IFERROR(IF(F71="","",IF(AH71="Check Data ⚠","Check Data ⚠",VLOOKUP(AL71, 'G-3 Multipliers'!$P$2:$Q$6,2,FALSE))),"")</f>
        <v/>
      </c>
      <c r="AN71" s="512" t="str">
        <f t="shared" si="8"/>
        <v/>
      </c>
      <c r="AO71" s="238"/>
      <c r="AP71" s="239"/>
    </row>
    <row r="72" spans="1:42" x14ac:dyDescent="0.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c r="R72" s="237"/>
      <c r="S72" s="391" t="str">
        <f>IFERROR(INDEX('G-1 All Habitats'!$B$3:$B$129,MATCH(R72,'G-1 All Habitats'!$A$3:$A$129,0)),"")</f>
        <v/>
      </c>
      <c r="T72" s="497" t="str">
        <f t="shared" si="1"/>
        <v/>
      </c>
      <c r="U72" s="498" t="str">
        <f t="shared" si="2"/>
        <v/>
      </c>
      <c r="V72" s="536" t="str">
        <f t="shared" si="3"/>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0"/>
        <v/>
      </c>
      <c r="AE72" s="82"/>
      <c r="AF72" s="82"/>
      <c r="AG72" s="506" t="str">
        <f t="shared" si="4"/>
        <v/>
      </c>
      <c r="AH72" s="520" t="str">
        <f t="shared" si="5"/>
        <v/>
      </c>
      <c r="AI72" s="521" t="str">
        <f>IF(AH72="Check Data","Check Data",IFERROR(VLOOKUP(AH72,'G-4 Temporal multipliers'!$A$4:$C$36,3,FALSE),""))</f>
        <v/>
      </c>
      <c r="AJ72" s="497" t="str">
        <f>IF(S72="","",VLOOKUP(S72,'G-3 Multipliers'!$A$2:$E$129,4,FALSE))</f>
        <v/>
      </c>
      <c r="AK72" s="506" t="str">
        <f t="shared" si="6"/>
        <v/>
      </c>
      <c r="AL72" s="506" t="str">
        <f t="shared" si="7"/>
        <v/>
      </c>
      <c r="AM72" s="539" t="str">
        <f>IFERROR(IF(F72="","",IF(AH72="Check Data ⚠","Check Data ⚠",VLOOKUP(AL72, 'G-3 Multipliers'!$P$2:$Q$6,2,FALSE))),"")</f>
        <v/>
      </c>
      <c r="AN72" s="512" t="str">
        <f t="shared" si="8"/>
        <v/>
      </c>
      <c r="AO72" s="238"/>
      <c r="AP72" s="239"/>
    </row>
    <row r="73" spans="1:42" x14ac:dyDescent="0.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c r="R73" s="237"/>
      <c r="S73" s="391" t="str">
        <f>IFERROR(INDEX('G-1 All Habitats'!$B$3:$B$129,MATCH(R73,'G-1 All Habitats'!$A$3:$A$129,0)),"")</f>
        <v/>
      </c>
      <c r="T73" s="497" t="str">
        <f t="shared" si="1"/>
        <v/>
      </c>
      <c r="U73" s="498" t="str">
        <f t="shared" si="2"/>
        <v/>
      </c>
      <c r="V73" s="536" t="str">
        <f t="shared" si="3"/>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0"/>
        <v/>
      </c>
      <c r="AE73" s="82"/>
      <c r="AF73" s="82"/>
      <c r="AG73" s="506" t="str">
        <f t="shared" si="4"/>
        <v/>
      </c>
      <c r="AH73" s="520" t="str">
        <f t="shared" si="5"/>
        <v/>
      </c>
      <c r="AI73" s="521" t="str">
        <f>IF(AH73="Check Data","Check Data",IFERROR(VLOOKUP(AH73,'G-4 Temporal multipliers'!$A$4:$C$36,3,FALSE),""))</f>
        <v/>
      </c>
      <c r="AJ73" s="497" t="str">
        <f>IF(S73="","",VLOOKUP(S73,'G-3 Multipliers'!$A$2:$E$129,4,FALSE))</f>
        <v/>
      </c>
      <c r="AK73" s="506" t="str">
        <f t="shared" si="6"/>
        <v/>
      </c>
      <c r="AL73" s="506" t="str">
        <f t="shared" si="7"/>
        <v/>
      </c>
      <c r="AM73" s="539" t="str">
        <f>IFERROR(IF(F73="","",IF(AH73="Check Data ⚠","Check Data ⚠",VLOOKUP(AL73, 'G-3 Multipliers'!$P$2:$Q$6,2,FALSE))),"")</f>
        <v/>
      </c>
      <c r="AN73" s="512" t="str">
        <f t="shared" si="8"/>
        <v/>
      </c>
      <c r="AO73" s="238"/>
      <c r="AP73" s="239"/>
    </row>
    <row r="74" spans="1:42" x14ac:dyDescent="0.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c r="R74" s="237"/>
      <c r="S74" s="391" t="str">
        <f>IFERROR(INDEX('G-1 All Habitats'!$B$3:$B$129,MATCH(R74,'G-1 All Habitats'!$A$3:$A$129,0)),"")</f>
        <v/>
      </c>
      <c r="T74" s="497" t="str">
        <f t="shared" si="1"/>
        <v/>
      </c>
      <c r="U74" s="498" t="str">
        <f t="shared" si="2"/>
        <v/>
      </c>
      <c r="V74" s="536" t="str">
        <f t="shared" si="3"/>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0"/>
        <v/>
      </c>
      <c r="AE74" s="82"/>
      <c r="AF74" s="82"/>
      <c r="AG74" s="506" t="str">
        <f t="shared" si="4"/>
        <v/>
      </c>
      <c r="AH74" s="520" t="str">
        <f t="shared" si="5"/>
        <v/>
      </c>
      <c r="AI74" s="521" t="str">
        <f>IF(AH74="Check Data","Check Data",IFERROR(VLOOKUP(AH74,'G-4 Temporal multipliers'!$A$4:$C$36,3,FALSE),""))</f>
        <v/>
      </c>
      <c r="AJ74" s="497" t="str">
        <f>IF(S74="","",VLOOKUP(S74,'G-3 Multipliers'!$A$2:$E$129,4,FALSE))</f>
        <v/>
      </c>
      <c r="AK74" s="506" t="str">
        <f t="shared" si="6"/>
        <v/>
      </c>
      <c r="AL74" s="506" t="str">
        <f t="shared" si="7"/>
        <v/>
      </c>
      <c r="AM74" s="539" t="str">
        <f>IFERROR(IF(F74="","",IF(AH74="Check Data ⚠","Check Data ⚠",VLOOKUP(AL74, 'G-3 Multipliers'!$P$2:$Q$6,2,FALSE))),"")</f>
        <v/>
      </c>
      <c r="AN74" s="512" t="str">
        <f t="shared" si="8"/>
        <v/>
      </c>
      <c r="AO74" s="238"/>
      <c r="AP74" s="239"/>
    </row>
    <row r="75" spans="1:42" x14ac:dyDescent="0.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c r="R75" s="237"/>
      <c r="S75" s="391" t="str">
        <f>IFERROR(INDEX('G-1 All Habitats'!$B$3:$B$129,MATCH(R75,'G-1 All Habitats'!$A$3:$A$129,0)),"")</f>
        <v/>
      </c>
      <c r="T75" s="497" t="str">
        <f t="shared" si="1"/>
        <v/>
      </c>
      <c r="U75" s="498" t="str">
        <f t="shared" si="2"/>
        <v/>
      </c>
      <c r="V75" s="536" t="str">
        <f t="shared" si="3"/>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0"/>
        <v/>
      </c>
      <c r="AE75" s="82"/>
      <c r="AF75" s="82"/>
      <c r="AG75" s="506" t="str">
        <f t="shared" si="4"/>
        <v/>
      </c>
      <c r="AH75" s="520" t="str">
        <f t="shared" si="5"/>
        <v/>
      </c>
      <c r="AI75" s="521" t="str">
        <f>IF(AH75="Check Data","Check Data",IFERROR(VLOOKUP(AH75,'G-4 Temporal multipliers'!$A$4:$C$36,3,FALSE),""))</f>
        <v/>
      </c>
      <c r="AJ75" s="497" t="str">
        <f>IF(S75="","",VLOOKUP(S75,'G-3 Multipliers'!$A$2:$E$129,4,FALSE))</f>
        <v/>
      </c>
      <c r="AK75" s="506" t="str">
        <f t="shared" si="6"/>
        <v/>
      </c>
      <c r="AL75" s="506" t="str">
        <f t="shared" si="7"/>
        <v/>
      </c>
      <c r="AM75" s="539" t="str">
        <f>IFERROR(IF(F75="","",IF(AH75="Check Data ⚠","Check Data ⚠",VLOOKUP(AL75, 'G-3 Multipliers'!$P$2:$Q$6,2,FALSE))),"")</f>
        <v/>
      </c>
      <c r="AN75" s="512" t="str">
        <f t="shared" si="8"/>
        <v/>
      </c>
      <c r="AO75" s="238"/>
      <c r="AP75" s="239"/>
    </row>
    <row r="76" spans="1:42" x14ac:dyDescent="0.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c r="R76" s="237"/>
      <c r="S76" s="391" t="str">
        <f>IFERROR(INDEX('G-1 All Habitats'!$B$3:$B$129,MATCH(R76,'G-1 All Habitats'!$A$3:$A$129,0)),"")</f>
        <v/>
      </c>
      <c r="T76" s="497" t="str">
        <f t="shared" si="1"/>
        <v/>
      </c>
      <c r="U76" s="498" t="str">
        <f t="shared" si="2"/>
        <v/>
      </c>
      <c r="V76" s="536" t="str">
        <f t="shared" ref="V76:V139" si="9">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0">IFERROR(IF(OR(LEFT(U76,5)="Error ▲",LEFT(T76,5)="Error ▲"),"Check Data ⚠",INDEX(EnhanceTemporal,MATCH(S76,EnhanceHabitat,0),MATCH(U76,EnhanceCondition,0))),"")</f>
        <v/>
      </c>
      <c r="AE76" s="82"/>
      <c r="AF76" s="82"/>
      <c r="AG76" s="506" t="str">
        <f t="shared" si="4"/>
        <v/>
      </c>
      <c r="AH76" s="520" t="str">
        <f t="shared" si="5"/>
        <v/>
      </c>
      <c r="AI76" s="521" t="str">
        <f>IF(AH76="Check Data","Check Data",IFERROR(VLOOKUP(AH76,'G-4 Temporal multipliers'!$A$4:$C$36,3,FALSE),""))</f>
        <v/>
      </c>
      <c r="AJ76" s="497" t="str">
        <f>IF(S76="","",VLOOKUP(S76,'G-3 Multipliers'!$A$2:$E$129,4,FALSE))</f>
        <v/>
      </c>
      <c r="AK76" s="506" t="str">
        <f t="shared" si="6"/>
        <v/>
      </c>
      <c r="AL76" s="506" t="str">
        <f t="shared" si="7"/>
        <v/>
      </c>
      <c r="AM76" s="539" t="str">
        <f>IFERROR(IF(F76="","",IF(AH76="Check Data ⚠","Check Data ⚠",VLOOKUP(AL76, 'G-3 Multipliers'!$P$2:$Q$6,2,FALSE))),"")</f>
        <v/>
      </c>
      <c r="AN76" s="512" t="str">
        <f t="shared" ref="AN76:AN139" si="11">IFERROR(((((V76*X76*Z76)-(V76*I76*K76))*(AM76*AI76))+(V76*I76*K76))*(AC76),"")</f>
        <v/>
      </c>
      <c r="AO76" s="238"/>
      <c r="AP76" s="239"/>
    </row>
    <row r="77" spans="1:42" x14ac:dyDescent="0.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c r="R77" s="237"/>
      <c r="S77" s="391" t="str">
        <f>IFERROR(INDEX('G-1 All Habitats'!$B$3:$B$129,MATCH(R77,'G-1 All Habitats'!$A$3:$A$129,0)),"")</f>
        <v/>
      </c>
      <c r="T77" s="497" t="str">
        <f t="shared" ref="T77:T140" si="12">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3">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9"/>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0"/>
        <v/>
      </c>
      <c r="AE77" s="82"/>
      <c r="AF77" s="82"/>
      <c r="AG77" s="506" t="str">
        <f t="shared" ref="AG77:AG140" si="14">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15">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16">IF(E77="","",IF(AG77="Check details - Is there evidence that habitat has reached target condition? ⚠","Low Difficulty - only applicable if all habitat created before losses ⚠","Standard difficulty applied"))</f>
        <v/>
      </c>
      <c r="AL77" s="506" t="str">
        <f t="shared" ref="AL77:AL140" si="17">(IF(AND(AK77="Standard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1"/>
        <v/>
      </c>
      <c r="AO77" s="238"/>
      <c r="AP77" s="239"/>
    </row>
    <row r="78" spans="1:42" x14ac:dyDescent="0.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c r="R78" s="237"/>
      <c r="S78" s="391" t="str">
        <f>IFERROR(INDEX('G-1 All Habitats'!$B$3:$B$129,MATCH(R78,'G-1 All Habitats'!$A$3:$A$129,0)),"")</f>
        <v/>
      </c>
      <c r="T78" s="497" t="str">
        <f t="shared" si="12"/>
        <v/>
      </c>
      <c r="U78" s="498" t="str">
        <f t="shared" si="13"/>
        <v/>
      </c>
      <c r="V78" s="536" t="str">
        <f t="shared" si="9"/>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0"/>
        <v/>
      </c>
      <c r="AE78" s="82"/>
      <c r="AF78" s="82"/>
      <c r="AG78" s="506" t="str">
        <f t="shared" si="14"/>
        <v/>
      </c>
      <c r="AH78" s="520" t="str">
        <f t="shared" si="15"/>
        <v/>
      </c>
      <c r="AI78" s="521" t="str">
        <f>IF(AH78="Check Data","Check Data",IFERROR(VLOOKUP(AH78,'G-4 Temporal multipliers'!$A$4:$C$36,3,FALSE),""))</f>
        <v/>
      </c>
      <c r="AJ78" s="497" t="str">
        <f>IF(S78="","",VLOOKUP(S78,'G-3 Multipliers'!$A$2:$E$129,4,FALSE))</f>
        <v/>
      </c>
      <c r="AK78" s="506" t="str">
        <f t="shared" si="16"/>
        <v/>
      </c>
      <c r="AL78" s="506" t="str">
        <f t="shared" si="17"/>
        <v/>
      </c>
      <c r="AM78" s="539" t="str">
        <f>IFERROR(IF(F78="","",IF(AH78="Check Data ⚠","Check Data ⚠",VLOOKUP(AL78, 'G-3 Multipliers'!$P$2:$Q$6,2,FALSE))),"")</f>
        <v/>
      </c>
      <c r="AN78" s="512" t="str">
        <f t="shared" si="11"/>
        <v/>
      </c>
      <c r="AO78" s="238"/>
      <c r="AP78" s="239"/>
    </row>
    <row r="79" spans="1:42" x14ac:dyDescent="0.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c r="R79" s="237"/>
      <c r="S79" s="391" t="str">
        <f>IFERROR(INDEX('G-1 All Habitats'!$B$3:$B$129,MATCH(R79,'G-1 All Habitats'!$A$3:$A$129,0)),"")</f>
        <v/>
      </c>
      <c r="T79" s="497" t="str">
        <f t="shared" si="12"/>
        <v/>
      </c>
      <c r="U79" s="498" t="str">
        <f t="shared" si="13"/>
        <v/>
      </c>
      <c r="V79" s="536" t="str">
        <f t="shared" si="9"/>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0"/>
        <v/>
      </c>
      <c r="AE79" s="82"/>
      <c r="AF79" s="82"/>
      <c r="AG79" s="506" t="str">
        <f t="shared" si="14"/>
        <v/>
      </c>
      <c r="AH79" s="520" t="str">
        <f t="shared" si="15"/>
        <v/>
      </c>
      <c r="AI79" s="521" t="str">
        <f>IF(AH79="Check Data","Check Data",IFERROR(VLOOKUP(AH79,'G-4 Temporal multipliers'!$A$4:$C$36,3,FALSE),""))</f>
        <v/>
      </c>
      <c r="AJ79" s="497" t="str">
        <f>IF(S79="","",VLOOKUP(S79,'G-3 Multipliers'!$A$2:$E$129,4,FALSE))</f>
        <v/>
      </c>
      <c r="AK79" s="506" t="str">
        <f t="shared" si="16"/>
        <v/>
      </c>
      <c r="AL79" s="506" t="str">
        <f t="shared" si="17"/>
        <v/>
      </c>
      <c r="AM79" s="539" t="str">
        <f>IFERROR(IF(F79="","",IF(AH79="Check Data ⚠","Check Data ⚠",VLOOKUP(AL79, 'G-3 Multipliers'!$P$2:$Q$6,2,FALSE))),"")</f>
        <v/>
      </c>
      <c r="AN79" s="512" t="str">
        <f t="shared" si="11"/>
        <v/>
      </c>
      <c r="AO79" s="238"/>
      <c r="AP79" s="239"/>
    </row>
    <row r="80" spans="1:42" x14ac:dyDescent="0.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c r="R80" s="237"/>
      <c r="S80" s="391" t="str">
        <f>IFERROR(INDEX('G-1 All Habitats'!$B$3:$B$129,MATCH(R80,'G-1 All Habitats'!$A$3:$A$129,0)),"")</f>
        <v/>
      </c>
      <c r="T80" s="497" t="str">
        <f t="shared" si="12"/>
        <v/>
      </c>
      <c r="U80" s="498" t="str">
        <f t="shared" si="13"/>
        <v/>
      </c>
      <c r="V80" s="536" t="str">
        <f t="shared" si="9"/>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0"/>
        <v/>
      </c>
      <c r="AE80" s="82"/>
      <c r="AF80" s="82"/>
      <c r="AG80" s="506" t="str">
        <f t="shared" si="14"/>
        <v/>
      </c>
      <c r="AH80" s="520" t="str">
        <f t="shared" si="15"/>
        <v/>
      </c>
      <c r="AI80" s="521" t="str">
        <f>IF(AH80="Check Data","Check Data",IFERROR(VLOOKUP(AH80,'G-4 Temporal multipliers'!$A$4:$C$36,3,FALSE),""))</f>
        <v/>
      </c>
      <c r="AJ80" s="497" t="str">
        <f>IF(S80="","",VLOOKUP(S80,'G-3 Multipliers'!$A$2:$E$129,4,FALSE))</f>
        <v/>
      </c>
      <c r="AK80" s="506" t="str">
        <f t="shared" si="16"/>
        <v/>
      </c>
      <c r="AL80" s="506" t="str">
        <f t="shared" si="17"/>
        <v/>
      </c>
      <c r="AM80" s="539" t="str">
        <f>IFERROR(IF(F80="","",IF(AH80="Check Data ⚠","Check Data ⚠",VLOOKUP(AL80, 'G-3 Multipliers'!$P$2:$Q$6,2,FALSE))),"")</f>
        <v/>
      </c>
      <c r="AN80" s="512" t="str">
        <f t="shared" si="11"/>
        <v/>
      </c>
      <c r="AO80" s="238"/>
      <c r="AP80" s="239"/>
    </row>
    <row r="81" spans="1:42" x14ac:dyDescent="0.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c r="R81" s="237"/>
      <c r="S81" s="391" t="str">
        <f>IFERROR(INDEX('G-1 All Habitats'!$B$3:$B$129,MATCH(R81,'G-1 All Habitats'!$A$3:$A$129,0)),"")</f>
        <v/>
      </c>
      <c r="T81" s="497" t="str">
        <f t="shared" si="12"/>
        <v/>
      </c>
      <c r="U81" s="498" t="str">
        <f t="shared" si="13"/>
        <v/>
      </c>
      <c r="V81" s="536" t="str">
        <f t="shared" si="9"/>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0"/>
        <v/>
      </c>
      <c r="AE81" s="82"/>
      <c r="AF81" s="82"/>
      <c r="AG81" s="506" t="str">
        <f t="shared" si="14"/>
        <v/>
      </c>
      <c r="AH81" s="520" t="str">
        <f t="shared" si="15"/>
        <v/>
      </c>
      <c r="AI81" s="521" t="str">
        <f>IF(AH81="Check Data","Check Data",IFERROR(VLOOKUP(AH81,'G-4 Temporal multipliers'!$A$4:$C$36,3,FALSE),""))</f>
        <v/>
      </c>
      <c r="AJ81" s="497" t="str">
        <f>IF(S81="","",VLOOKUP(S81,'G-3 Multipliers'!$A$2:$E$129,4,FALSE))</f>
        <v/>
      </c>
      <c r="AK81" s="506" t="str">
        <f t="shared" si="16"/>
        <v/>
      </c>
      <c r="AL81" s="506" t="str">
        <f t="shared" si="17"/>
        <v/>
      </c>
      <c r="AM81" s="539" t="str">
        <f>IFERROR(IF(F81="","",IF(AH81="Check Data ⚠","Check Data ⚠",VLOOKUP(AL81, 'G-3 Multipliers'!$P$2:$Q$6,2,FALSE))),"")</f>
        <v/>
      </c>
      <c r="AN81" s="512" t="str">
        <f t="shared" si="11"/>
        <v/>
      </c>
      <c r="AO81" s="238"/>
      <c r="AP81" s="239"/>
    </row>
    <row r="82" spans="1:42" x14ac:dyDescent="0.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c r="R82" s="237"/>
      <c r="S82" s="391" t="str">
        <f>IFERROR(INDEX('G-1 All Habitats'!$B$3:$B$129,MATCH(R82,'G-1 All Habitats'!$A$3:$A$129,0)),"")</f>
        <v/>
      </c>
      <c r="T82" s="497" t="str">
        <f t="shared" si="12"/>
        <v/>
      </c>
      <c r="U82" s="498" t="str">
        <f t="shared" si="13"/>
        <v/>
      </c>
      <c r="V82" s="536" t="str">
        <f t="shared" si="9"/>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0"/>
        <v/>
      </c>
      <c r="AE82" s="82"/>
      <c r="AF82" s="82"/>
      <c r="AG82" s="506" t="str">
        <f t="shared" si="14"/>
        <v/>
      </c>
      <c r="AH82" s="520" t="str">
        <f t="shared" si="15"/>
        <v/>
      </c>
      <c r="AI82" s="521" t="str">
        <f>IF(AH82="Check Data","Check Data",IFERROR(VLOOKUP(AH82,'G-4 Temporal multipliers'!$A$4:$C$36,3,FALSE),""))</f>
        <v/>
      </c>
      <c r="AJ82" s="497" t="str">
        <f>IF(S82="","",VLOOKUP(S82,'G-3 Multipliers'!$A$2:$E$129,4,FALSE))</f>
        <v/>
      </c>
      <c r="AK82" s="506" t="str">
        <f t="shared" si="16"/>
        <v/>
      </c>
      <c r="AL82" s="506" t="str">
        <f t="shared" si="17"/>
        <v/>
      </c>
      <c r="AM82" s="539" t="str">
        <f>IFERROR(IF(F82="","",IF(AH82="Check Data ⚠","Check Data ⚠",VLOOKUP(AL82, 'G-3 Multipliers'!$P$2:$Q$6,2,FALSE))),"")</f>
        <v/>
      </c>
      <c r="AN82" s="512" t="str">
        <f t="shared" si="11"/>
        <v/>
      </c>
      <c r="AO82" s="238"/>
      <c r="AP82" s="239"/>
    </row>
    <row r="83" spans="1:42" x14ac:dyDescent="0.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c r="R83" s="237"/>
      <c r="S83" s="391" t="str">
        <f>IFERROR(INDEX('G-1 All Habitats'!$B$3:$B$129,MATCH(R83,'G-1 All Habitats'!$A$3:$A$129,0)),"")</f>
        <v/>
      </c>
      <c r="T83" s="497" t="str">
        <f t="shared" si="12"/>
        <v/>
      </c>
      <c r="U83" s="498" t="str">
        <f t="shared" si="13"/>
        <v/>
      </c>
      <c r="V83" s="536" t="str">
        <f t="shared" si="9"/>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0"/>
        <v/>
      </c>
      <c r="AE83" s="82"/>
      <c r="AF83" s="82"/>
      <c r="AG83" s="506" t="str">
        <f t="shared" si="14"/>
        <v/>
      </c>
      <c r="AH83" s="520" t="str">
        <f t="shared" si="15"/>
        <v/>
      </c>
      <c r="AI83" s="521" t="str">
        <f>IF(AH83="Check Data","Check Data",IFERROR(VLOOKUP(AH83,'G-4 Temporal multipliers'!$A$4:$C$36,3,FALSE),""))</f>
        <v/>
      </c>
      <c r="AJ83" s="497" t="str">
        <f>IF(S83="","",VLOOKUP(S83,'G-3 Multipliers'!$A$2:$E$129,4,FALSE))</f>
        <v/>
      </c>
      <c r="AK83" s="506" t="str">
        <f t="shared" si="16"/>
        <v/>
      </c>
      <c r="AL83" s="506" t="str">
        <f t="shared" si="17"/>
        <v/>
      </c>
      <c r="AM83" s="539" t="str">
        <f>IFERROR(IF(F83="","",IF(AH83="Check Data ⚠","Check Data ⚠",VLOOKUP(AL83, 'G-3 Multipliers'!$P$2:$Q$6,2,FALSE))),"")</f>
        <v/>
      </c>
      <c r="AN83" s="512" t="str">
        <f t="shared" si="11"/>
        <v/>
      </c>
      <c r="AO83" s="238"/>
      <c r="AP83" s="239"/>
    </row>
    <row r="84" spans="1:42" x14ac:dyDescent="0.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c r="R84" s="237"/>
      <c r="S84" s="391" t="str">
        <f>IFERROR(INDEX('G-1 All Habitats'!$B$3:$B$129,MATCH(R84,'G-1 All Habitats'!$A$3:$A$129,0)),"")</f>
        <v/>
      </c>
      <c r="T84" s="497" t="str">
        <f t="shared" si="12"/>
        <v/>
      </c>
      <c r="U84" s="498" t="str">
        <f t="shared" si="13"/>
        <v/>
      </c>
      <c r="V84" s="536" t="str">
        <f t="shared" si="9"/>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0"/>
        <v/>
      </c>
      <c r="AE84" s="82"/>
      <c r="AF84" s="82"/>
      <c r="AG84" s="506" t="str">
        <f t="shared" si="14"/>
        <v/>
      </c>
      <c r="AH84" s="520" t="str">
        <f t="shared" si="15"/>
        <v/>
      </c>
      <c r="AI84" s="521" t="str">
        <f>IF(AH84="Check Data","Check Data",IFERROR(VLOOKUP(AH84,'G-4 Temporal multipliers'!$A$4:$C$36,3,FALSE),""))</f>
        <v/>
      </c>
      <c r="AJ84" s="497" t="str">
        <f>IF(S84="","",VLOOKUP(S84,'G-3 Multipliers'!$A$2:$E$129,4,FALSE))</f>
        <v/>
      </c>
      <c r="AK84" s="506" t="str">
        <f t="shared" si="16"/>
        <v/>
      </c>
      <c r="AL84" s="506" t="str">
        <f t="shared" si="17"/>
        <v/>
      </c>
      <c r="AM84" s="539" t="str">
        <f>IFERROR(IF(F84="","",IF(AH84="Check Data ⚠","Check Data ⚠",VLOOKUP(AL84, 'G-3 Multipliers'!$P$2:$Q$6,2,FALSE))),"")</f>
        <v/>
      </c>
      <c r="AN84" s="512" t="str">
        <f t="shared" si="11"/>
        <v/>
      </c>
      <c r="AO84" s="238"/>
      <c r="AP84" s="239"/>
    </row>
    <row r="85" spans="1:42" x14ac:dyDescent="0.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c r="R85" s="237"/>
      <c r="S85" s="391" t="str">
        <f>IFERROR(INDEX('G-1 All Habitats'!$B$3:$B$129,MATCH(R85,'G-1 All Habitats'!$A$3:$A$129,0)),"")</f>
        <v/>
      </c>
      <c r="T85" s="497" t="str">
        <f t="shared" si="12"/>
        <v/>
      </c>
      <c r="U85" s="498" t="str">
        <f t="shared" si="13"/>
        <v/>
      </c>
      <c r="V85" s="536" t="str">
        <f t="shared" si="9"/>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0"/>
        <v/>
      </c>
      <c r="AE85" s="82"/>
      <c r="AF85" s="82"/>
      <c r="AG85" s="506" t="str">
        <f t="shared" si="14"/>
        <v/>
      </c>
      <c r="AH85" s="520" t="str">
        <f t="shared" si="15"/>
        <v/>
      </c>
      <c r="AI85" s="521" t="str">
        <f>IF(AH85="Check Data","Check Data",IFERROR(VLOOKUP(AH85,'G-4 Temporal multipliers'!$A$4:$C$36,3,FALSE),""))</f>
        <v/>
      </c>
      <c r="AJ85" s="497" t="str">
        <f>IF(S85="","",VLOOKUP(S85,'G-3 Multipliers'!$A$2:$E$129,4,FALSE))</f>
        <v/>
      </c>
      <c r="AK85" s="506" t="str">
        <f t="shared" si="16"/>
        <v/>
      </c>
      <c r="AL85" s="506" t="str">
        <f t="shared" si="17"/>
        <v/>
      </c>
      <c r="AM85" s="539" t="str">
        <f>IFERROR(IF(F85="","",IF(AH85="Check Data ⚠","Check Data ⚠",VLOOKUP(AL85, 'G-3 Multipliers'!$P$2:$Q$6,2,FALSE))),"")</f>
        <v/>
      </c>
      <c r="AN85" s="512" t="str">
        <f t="shared" si="11"/>
        <v/>
      </c>
      <c r="AO85" s="238"/>
      <c r="AP85" s="239"/>
    </row>
    <row r="86" spans="1:42" x14ac:dyDescent="0.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c r="R86" s="237"/>
      <c r="S86" s="391" t="str">
        <f>IFERROR(INDEX('G-1 All Habitats'!$B$3:$B$129,MATCH(R86,'G-1 All Habitats'!$A$3:$A$129,0)),"")</f>
        <v/>
      </c>
      <c r="T86" s="497" t="str">
        <f t="shared" si="12"/>
        <v/>
      </c>
      <c r="U86" s="498" t="str">
        <f t="shared" si="13"/>
        <v/>
      </c>
      <c r="V86" s="536" t="str">
        <f t="shared" si="9"/>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0"/>
        <v/>
      </c>
      <c r="AE86" s="82"/>
      <c r="AF86" s="82"/>
      <c r="AG86" s="506" t="str">
        <f t="shared" si="14"/>
        <v/>
      </c>
      <c r="AH86" s="520" t="str">
        <f t="shared" si="15"/>
        <v/>
      </c>
      <c r="AI86" s="521" t="str">
        <f>IF(AH86="Check Data","Check Data",IFERROR(VLOOKUP(AH86,'G-4 Temporal multipliers'!$A$4:$C$36,3,FALSE),""))</f>
        <v/>
      </c>
      <c r="AJ86" s="497" t="str">
        <f>IF(S86="","",VLOOKUP(S86,'G-3 Multipliers'!$A$2:$E$129,4,FALSE))</f>
        <v/>
      </c>
      <c r="AK86" s="506" t="str">
        <f t="shared" si="16"/>
        <v/>
      </c>
      <c r="AL86" s="506" t="str">
        <f t="shared" si="17"/>
        <v/>
      </c>
      <c r="AM86" s="539" t="str">
        <f>IFERROR(IF(F86="","",IF(AH86="Check Data ⚠","Check Data ⚠",VLOOKUP(AL86, 'G-3 Multipliers'!$P$2:$Q$6,2,FALSE))),"")</f>
        <v/>
      </c>
      <c r="AN86" s="512" t="str">
        <f t="shared" si="11"/>
        <v/>
      </c>
      <c r="AO86" s="238"/>
      <c r="AP86" s="239"/>
    </row>
    <row r="87" spans="1:42" x14ac:dyDescent="0.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c r="R87" s="237"/>
      <c r="S87" s="391" t="str">
        <f>IFERROR(INDEX('G-1 All Habitats'!$B$3:$B$129,MATCH(R87,'G-1 All Habitats'!$A$3:$A$129,0)),"")</f>
        <v/>
      </c>
      <c r="T87" s="497" t="str">
        <f t="shared" si="12"/>
        <v/>
      </c>
      <c r="U87" s="498" t="str">
        <f t="shared" si="13"/>
        <v/>
      </c>
      <c r="V87" s="536" t="str">
        <f t="shared" si="9"/>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0"/>
        <v/>
      </c>
      <c r="AE87" s="82"/>
      <c r="AF87" s="82"/>
      <c r="AG87" s="506" t="str">
        <f t="shared" si="14"/>
        <v/>
      </c>
      <c r="AH87" s="520" t="str">
        <f t="shared" si="15"/>
        <v/>
      </c>
      <c r="AI87" s="521" t="str">
        <f>IF(AH87="Check Data","Check Data",IFERROR(VLOOKUP(AH87,'G-4 Temporal multipliers'!$A$4:$C$36,3,FALSE),""))</f>
        <v/>
      </c>
      <c r="AJ87" s="497" t="str">
        <f>IF(S87="","",VLOOKUP(S87,'G-3 Multipliers'!$A$2:$E$129,4,FALSE))</f>
        <v/>
      </c>
      <c r="AK87" s="506" t="str">
        <f t="shared" si="16"/>
        <v/>
      </c>
      <c r="AL87" s="506" t="str">
        <f t="shared" si="17"/>
        <v/>
      </c>
      <c r="AM87" s="539" t="str">
        <f>IFERROR(IF(F87="","",IF(AH87="Check Data ⚠","Check Data ⚠",VLOOKUP(AL87, 'G-3 Multipliers'!$P$2:$Q$6,2,FALSE))),"")</f>
        <v/>
      </c>
      <c r="AN87" s="512" t="str">
        <f t="shared" si="11"/>
        <v/>
      </c>
      <c r="AO87" s="238"/>
      <c r="AP87" s="239"/>
    </row>
    <row r="88" spans="1:42" x14ac:dyDescent="0.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c r="R88" s="237"/>
      <c r="S88" s="391" t="str">
        <f>IFERROR(INDEX('G-1 All Habitats'!$B$3:$B$129,MATCH(R88,'G-1 All Habitats'!$A$3:$A$129,0)),"")</f>
        <v/>
      </c>
      <c r="T88" s="497" t="str">
        <f t="shared" si="12"/>
        <v/>
      </c>
      <c r="U88" s="498" t="str">
        <f t="shared" si="13"/>
        <v/>
      </c>
      <c r="V88" s="536" t="str">
        <f t="shared" si="9"/>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0"/>
        <v/>
      </c>
      <c r="AE88" s="82"/>
      <c r="AF88" s="82"/>
      <c r="AG88" s="506" t="str">
        <f t="shared" si="14"/>
        <v/>
      </c>
      <c r="AH88" s="520" t="str">
        <f t="shared" si="15"/>
        <v/>
      </c>
      <c r="AI88" s="521" t="str">
        <f>IF(AH88="Check Data","Check Data",IFERROR(VLOOKUP(AH88,'G-4 Temporal multipliers'!$A$4:$C$36,3,FALSE),""))</f>
        <v/>
      </c>
      <c r="AJ88" s="497" t="str">
        <f>IF(S88="","",VLOOKUP(S88,'G-3 Multipliers'!$A$2:$E$129,4,FALSE))</f>
        <v/>
      </c>
      <c r="AK88" s="506" t="str">
        <f t="shared" si="16"/>
        <v/>
      </c>
      <c r="AL88" s="506" t="str">
        <f t="shared" si="17"/>
        <v/>
      </c>
      <c r="AM88" s="539" t="str">
        <f>IFERROR(IF(F88="","",IF(AH88="Check Data ⚠","Check Data ⚠",VLOOKUP(AL88, 'G-3 Multipliers'!$P$2:$Q$6,2,FALSE))),"")</f>
        <v/>
      </c>
      <c r="AN88" s="512" t="str">
        <f t="shared" si="11"/>
        <v/>
      </c>
      <c r="AO88" s="238"/>
      <c r="AP88" s="239"/>
    </row>
    <row r="89" spans="1:42" x14ac:dyDescent="0.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c r="R89" s="237"/>
      <c r="S89" s="391" t="str">
        <f>IFERROR(INDEX('G-1 All Habitats'!$B$3:$B$129,MATCH(R89,'G-1 All Habitats'!$A$3:$A$129,0)),"")</f>
        <v/>
      </c>
      <c r="T89" s="497" t="str">
        <f t="shared" si="12"/>
        <v/>
      </c>
      <c r="U89" s="498" t="str">
        <f t="shared" si="13"/>
        <v/>
      </c>
      <c r="V89" s="536" t="str">
        <f t="shared" si="9"/>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0"/>
        <v/>
      </c>
      <c r="AE89" s="82"/>
      <c r="AF89" s="82"/>
      <c r="AG89" s="506" t="str">
        <f t="shared" si="14"/>
        <v/>
      </c>
      <c r="AH89" s="520" t="str">
        <f t="shared" si="15"/>
        <v/>
      </c>
      <c r="AI89" s="521" t="str">
        <f>IF(AH89="Check Data","Check Data",IFERROR(VLOOKUP(AH89,'G-4 Temporal multipliers'!$A$4:$C$36,3,FALSE),""))</f>
        <v/>
      </c>
      <c r="AJ89" s="497" t="str">
        <f>IF(S89="","",VLOOKUP(S89,'G-3 Multipliers'!$A$2:$E$129,4,FALSE))</f>
        <v/>
      </c>
      <c r="AK89" s="506" t="str">
        <f t="shared" si="16"/>
        <v/>
      </c>
      <c r="AL89" s="506" t="str">
        <f t="shared" si="17"/>
        <v/>
      </c>
      <c r="AM89" s="539" t="str">
        <f>IFERROR(IF(F89="","",IF(AH89="Check Data ⚠","Check Data ⚠",VLOOKUP(AL89, 'G-3 Multipliers'!$P$2:$Q$6,2,FALSE))),"")</f>
        <v/>
      </c>
      <c r="AN89" s="512" t="str">
        <f t="shared" si="11"/>
        <v/>
      </c>
      <c r="AO89" s="238"/>
      <c r="AP89" s="239"/>
    </row>
    <row r="90" spans="1:42" x14ac:dyDescent="0.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c r="R90" s="237"/>
      <c r="S90" s="391" t="str">
        <f>IFERROR(INDEX('G-1 All Habitats'!$B$3:$B$129,MATCH(R90,'G-1 All Habitats'!$A$3:$A$129,0)),"")</f>
        <v/>
      </c>
      <c r="T90" s="497" t="str">
        <f t="shared" si="12"/>
        <v/>
      </c>
      <c r="U90" s="498" t="str">
        <f t="shared" si="13"/>
        <v/>
      </c>
      <c r="V90" s="536" t="str">
        <f t="shared" si="9"/>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0"/>
        <v/>
      </c>
      <c r="AE90" s="82"/>
      <c r="AF90" s="82"/>
      <c r="AG90" s="506" t="str">
        <f t="shared" si="14"/>
        <v/>
      </c>
      <c r="AH90" s="520" t="str">
        <f t="shared" si="15"/>
        <v/>
      </c>
      <c r="AI90" s="521" t="str">
        <f>IF(AH90="Check Data","Check Data",IFERROR(VLOOKUP(AH90,'G-4 Temporal multipliers'!$A$4:$C$36,3,FALSE),""))</f>
        <v/>
      </c>
      <c r="AJ90" s="497" t="str">
        <f>IF(S90="","",VLOOKUP(S90,'G-3 Multipliers'!$A$2:$E$129,4,FALSE))</f>
        <v/>
      </c>
      <c r="AK90" s="506" t="str">
        <f t="shared" si="16"/>
        <v/>
      </c>
      <c r="AL90" s="506" t="str">
        <f t="shared" si="17"/>
        <v/>
      </c>
      <c r="AM90" s="539" t="str">
        <f>IFERROR(IF(F90="","",IF(AH90="Check Data ⚠","Check Data ⚠",VLOOKUP(AL90, 'G-3 Multipliers'!$P$2:$Q$6,2,FALSE))),"")</f>
        <v/>
      </c>
      <c r="AN90" s="512" t="str">
        <f t="shared" si="11"/>
        <v/>
      </c>
      <c r="AO90" s="238"/>
      <c r="AP90" s="239"/>
    </row>
    <row r="91" spans="1:42" x14ac:dyDescent="0.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c r="R91" s="237"/>
      <c r="S91" s="391" t="str">
        <f>IFERROR(INDEX('G-1 All Habitats'!$B$3:$B$129,MATCH(R91,'G-1 All Habitats'!$A$3:$A$129,0)),"")</f>
        <v/>
      </c>
      <c r="T91" s="497" t="str">
        <f t="shared" si="12"/>
        <v/>
      </c>
      <c r="U91" s="498" t="str">
        <f t="shared" si="13"/>
        <v/>
      </c>
      <c r="V91" s="536" t="str">
        <f t="shared" si="9"/>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0"/>
        <v/>
      </c>
      <c r="AE91" s="82"/>
      <c r="AF91" s="82"/>
      <c r="AG91" s="506" t="str">
        <f t="shared" si="14"/>
        <v/>
      </c>
      <c r="AH91" s="520" t="str">
        <f t="shared" si="15"/>
        <v/>
      </c>
      <c r="AI91" s="521" t="str">
        <f>IF(AH91="Check Data","Check Data",IFERROR(VLOOKUP(AH91,'G-4 Temporal multipliers'!$A$4:$C$36,3,FALSE),""))</f>
        <v/>
      </c>
      <c r="AJ91" s="497" t="str">
        <f>IF(S91="","",VLOOKUP(S91,'G-3 Multipliers'!$A$2:$E$129,4,FALSE))</f>
        <v/>
      </c>
      <c r="AK91" s="506" t="str">
        <f t="shared" si="16"/>
        <v/>
      </c>
      <c r="AL91" s="506" t="str">
        <f t="shared" si="17"/>
        <v/>
      </c>
      <c r="AM91" s="539" t="str">
        <f>IFERROR(IF(F91="","",IF(AH91="Check Data ⚠","Check Data ⚠",VLOOKUP(AL91, 'G-3 Multipliers'!$P$2:$Q$6,2,FALSE))),"")</f>
        <v/>
      </c>
      <c r="AN91" s="512" t="str">
        <f t="shared" si="11"/>
        <v/>
      </c>
      <c r="AO91" s="238"/>
      <c r="AP91" s="239"/>
    </row>
    <row r="92" spans="1:42" x14ac:dyDescent="0.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c r="R92" s="237"/>
      <c r="S92" s="391" t="str">
        <f>IFERROR(INDEX('G-1 All Habitats'!$B$3:$B$129,MATCH(R92,'G-1 All Habitats'!$A$3:$A$129,0)),"")</f>
        <v/>
      </c>
      <c r="T92" s="497" t="str">
        <f t="shared" si="12"/>
        <v/>
      </c>
      <c r="U92" s="498" t="str">
        <f t="shared" si="13"/>
        <v/>
      </c>
      <c r="V92" s="536" t="str">
        <f t="shared" si="9"/>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0"/>
        <v/>
      </c>
      <c r="AE92" s="82"/>
      <c r="AF92" s="82"/>
      <c r="AG92" s="506" t="str">
        <f t="shared" si="14"/>
        <v/>
      </c>
      <c r="AH92" s="520" t="str">
        <f t="shared" si="15"/>
        <v/>
      </c>
      <c r="AI92" s="521" t="str">
        <f>IF(AH92="Check Data","Check Data",IFERROR(VLOOKUP(AH92,'G-4 Temporal multipliers'!$A$4:$C$36,3,FALSE),""))</f>
        <v/>
      </c>
      <c r="AJ92" s="497" t="str">
        <f>IF(S92="","",VLOOKUP(S92,'G-3 Multipliers'!$A$2:$E$129,4,FALSE))</f>
        <v/>
      </c>
      <c r="AK92" s="506" t="str">
        <f t="shared" si="16"/>
        <v/>
      </c>
      <c r="AL92" s="506" t="str">
        <f t="shared" si="17"/>
        <v/>
      </c>
      <c r="AM92" s="539" t="str">
        <f>IFERROR(IF(F92="","",IF(AH92="Check Data ⚠","Check Data ⚠",VLOOKUP(AL92, 'G-3 Multipliers'!$P$2:$Q$6,2,FALSE))),"")</f>
        <v/>
      </c>
      <c r="AN92" s="512" t="str">
        <f t="shared" si="11"/>
        <v/>
      </c>
      <c r="AO92" s="238"/>
      <c r="AP92" s="239"/>
    </row>
    <row r="93" spans="1:42" x14ac:dyDescent="0.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c r="R93" s="237"/>
      <c r="S93" s="391" t="str">
        <f>IFERROR(INDEX('G-1 All Habitats'!$B$3:$B$129,MATCH(R93,'G-1 All Habitats'!$A$3:$A$129,0)),"")</f>
        <v/>
      </c>
      <c r="T93" s="497" t="str">
        <f t="shared" si="12"/>
        <v/>
      </c>
      <c r="U93" s="498" t="str">
        <f t="shared" si="13"/>
        <v/>
      </c>
      <c r="V93" s="536" t="str">
        <f t="shared" si="9"/>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0"/>
        <v/>
      </c>
      <c r="AE93" s="82"/>
      <c r="AF93" s="82"/>
      <c r="AG93" s="506" t="str">
        <f t="shared" si="14"/>
        <v/>
      </c>
      <c r="AH93" s="520" t="str">
        <f t="shared" si="15"/>
        <v/>
      </c>
      <c r="AI93" s="521" t="str">
        <f>IF(AH93="Check Data","Check Data",IFERROR(VLOOKUP(AH93,'G-4 Temporal multipliers'!$A$4:$C$36,3,FALSE),""))</f>
        <v/>
      </c>
      <c r="AJ93" s="497" t="str">
        <f>IF(S93="","",VLOOKUP(S93,'G-3 Multipliers'!$A$2:$E$129,4,FALSE))</f>
        <v/>
      </c>
      <c r="AK93" s="506" t="str">
        <f t="shared" si="16"/>
        <v/>
      </c>
      <c r="AL93" s="506" t="str">
        <f t="shared" si="17"/>
        <v/>
      </c>
      <c r="AM93" s="539" t="str">
        <f>IFERROR(IF(F93="","",IF(AH93="Check Data ⚠","Check Data ⚠",VLOOKUP(AL93, 'G-3 Multipliers'!$P$2:$Q$6,2,FALSE))),"")</f>
        <v/>
      </c>
      <c r="AN93" s="512" t="str">
        <f t="shared" si="11"/>
        <v/>
      </c>
      <c r="AO93" s="238"/>
      <c r="AP93" s="239"/>
    </row>
    <row r="94" spans="1:42" x14ac:dyDescent="0.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c r="R94" s="237"/>
      <c r="S94" s="391" t="str">
        <f>IFERROR(INDEX('G-1 All Habitats'!$B$3:$B$129,MATCH(R94,'G-1 All Habitats'!$A$3:$A$129,0)),"")</f>
        <v/>
      </c>
      <c r="T94" s="497" t="str">
        <f t="shared" si="12"/>
        <v/>
      </c>
      <c r="U94" s="498" t="str">
        <f t="shared" si="13"/>
        <v/>
      </c>
      <c r="V94" s="536" t="str">
        <f t="shared" si="9"/>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0"/>
        <v/>
      </c>
      <c r="AE94" s="82"/>
      <c r="AF94" s="82"/>
      <c r="AG94" s="506" t="str">
        <f t="shared" si="14"/>
        <v/>
      </c>
      <c r="AH94" s="520" t="str">
        <f t="shared" si="15"/>
        <v/>
      </c>
      <c r="AI94" s="521" t="str">
        <f>IF(AH94="Check Data","Check Data",IFERROR(VLOOKUP(AH94,'G-4 Temporal multipliers'!$A$4:$C$36,3,FALSE),""))</f>
        <v/>
      </c>
      <c r="AJ94" s="497" t="str">
        <f>IF(S94="","",VLOOKUP(S94,'G-3 Multipliers'!$A$2:$E$129,4,FALSE))</f>
        <v/>
      </c>
      <c r="AK94" s="506" t="str">
        <f t="shared" si="16"/>
        <v/>
      </c>
      <c r="AL94" s="506" t="str">
        <f t="shared" si="17"/>
        <v/>
      </c>
      <c r="AM94" s="539" t="str">
        <f>IFERROR(IF(F94="","",IF(AH94="Check Data ⚠","Check Data ⚠",VLOOKUP(AL94, 'G-3 Multipliers'!$P$2:$Q$6,2,FALSE))),"")</f>
        <v/>
      </c>
      <c r="AN94" s="512" t="str">
        <f t="shared" si="11"/>
        <v/>
      </c>
      <c r="AO94" s="238"/>
      <c r="AP94" s="239"/>
    </row>
    <row r="95" spans="1:42" x14ac:dyDescent="0.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c r="R95" s="237"/>
      <c r="S95" s="391" t="str">
        <f>IFERROR(INDEX('G-1 All Habitats'!$B$3:$B$129,MATCH(R95,'G-1 All Habitats'!$A$3:$A$129,0)),"")</f>
        <v/>
      </c>
      <c r="T95" s="497" t="str">
        <f t="shared" si="12"/>
        <v/>
      </c>
      <c r="U95" s="498" t="str">
        <f t="shared" si="13"/>
        <v/>
      </c>
      <c r="V95" s="536" t="str">
        <f t="shared" si="9"/>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0"/>
        <v/>
      </c>
      <c r="AE95" s="82"/>
      <c r="AF95" s="82"/>
      <c r="AG95" s="506" t="str">
        <f t="shared" si="14"/>
        <v/>
      </c>
      <c r="AH95" s="520" t="str">
        <f t="shared" si="15"/>
        <v/>
      </c>
      <c r="AI95" s="521" t="str">
        <f>IF(AH95="Check Data","Check Data",IFERROR(VLOOKUP(AH95,'G-4 Temporal multipliers'!$A$4:$C$36,3,FALSE),""))</f>
        <v/>
      </c>
      <c r="AJ95" s="497" t="str">
        <f>IF(S95="","",VLOOKUP(S95,'G-3 Multipliers'!$A$2:$E$129,4,FALSE))</f>
        <v/>
      </c>
      <c r="AK95" s="506" t="str">
        <f t="shared" si="16"/>
        <v/>
      </c>
      <c r="AL95" s="506" t="str">
        <f t="shared" si="17"/>
        <v/>
      </c>
      <c r="AM95" s="539" t="str">
        <f>IFERROR(IF(F95="","",IF(AH95="Check Data ⚠","Check Data ⚠",VLOOKUP(AL95, 'G-3 Multipliers'!$P$2:$Q$6,2,FALSE))),"")</f>
        <v/>
      </c>
      <c r="AN95" s="512" t="str">
        <f t="shared" si="11"/>
        <v/>
      </c>
      <c r="AO95" s="238"/>
      <c r="AP95" s="239"/>
    </row>
    <row r="96" spans="1:42" x14ac:dyDescent="0.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c r="R96" s="237"/>
      <c r="S96" s="391" t="str">
        <f>IFERROR(INDEX('G-1 All Habitats'!$B$3:$B$129,MATCH(R96,'G-1 All Habitats'!$A$3:$A$129,0)),"")</f>
        <v/>
      </c>
      <c r="T96" s="497" t="str">
        <f t="shared" si="12"/>
        <v/>
      </c>
      <c r="U96" s="498" t="str">
        <f t="shared" si="13"/>
        <v/>
      </c>
      <c r="V96" s="536" t="str">
        <f t="shared" si="9"/>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0"/>
        <v/>
      </c>
      <c r="AE96" s="82"/>
      <c r="AF96" s="82"/>
      <c r="AG96" s="506" t="str">
        <f t="shared" si="14"/>
        <v/>
      </c>
      <c r="AH96" s="520" t="str">
        <f t="shared" si="15"/>
        <v/>
      </c>
      <c r="AI96" s="521" t="str">
        <f>IF(AH96="Check Data","Check Data",IFERROR(VLOOKUP(AH96,'G-4 Temporal multipliers'!$A$4:$C$36,3,FALSE),""))</f>
        <v/>
      </c>
      <c r="AJ96" s="497" t="str">
        <f>IF(S96="","",VLOOKUP(S96,'G-3 Multipliers'!$A$2:$E$129,4,FALSE))</f>
        <v/>
      </c>
      <c r="AK96" s="506" t="str">
        <f t="shared" si="16"/>
        <v/>
      </c>
      <c r="AL96" s="506" t="str">
        <f t="shared" si="17"/>
        <v/>
      </c>
      <c r="AM96" s="539" t="str">
        <f>IFERROR(IF(F96="","",IF(AH96="Check Data ⚠","Check Data ⚠",VLOOKUP(AL96, 'G-3 Multipliers'!$P$2:$Q$6,2,FALSE))),"")</f>
        <v/>
      </c>
      <c r="AN96" s="512" t="str">
        <f t="shared" si="11"/>
        <v/>
      </c>
      <c r="AO96" s="238"/>
      <c r="AP96" s="239"/>
    </row>
    <row r="97" spans="1:42" x14ac:dyDescent="0.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c r="R97" s="237"/>
      <c r="S97" s="391" t="str">
        <f>IFERROR(INDEX('G-1 All Habitats'!$B$3:$B$129,MATCH(R97,'G-1 All Habitats'!$A$3:$A$129,0)),"")</f>
        <v/>
      </c>
      <c r="T97" s="497" t="str">
        <f t="shared" si="12"/>
        <v/>
      </c>
      <c r="U97" s="498" t="str">
        <f t="shared" si="13"/>
        <v/>
      </c>
      <c r="V97" s="536" t="str">
        <f t="shared" si="9"/>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0"/>
        <v/>
      </c>
      <c r="AE97" s="82"/>
      <c r="AF97" s="82"/>
      <c r="AG97" s="506" t="str">
        <f t="shared" si="14"/>
        <v/>
      </c>
      <c r="AH97" s="520" t="str">
        <f t="shared" si="15"/>
        <v/>
      </c>
      <c r="AI97" s="521" t="str">
        <f>IF(AH97="Check Data","Check Data",IFERROR(VLOOKUP(AH97,'G-4 Temporal multipliers'!$A$4:$C$36,3,FALSE),""))</f>
        <v/>
      </c>
      <c r="AJ97" s="497" t="str">
        <f>IF(S97="","",VLOOKUP(S97,'G-3 Multipliers'!$A$2:$E$129,4,FALSE))</f>
        <v/>
      </c>
      <c r="AK97" s="506" t="str">
        <f t="shared" si="16"/>
        <v/>
      </c>
      <c r="AL97" s="506" t="str">
        <f t="shared" si="17"/>
        <v/>
      </c>
      <c r="AM97" s="539" t="str">
        <f>IFERROR(IF(F97="","",IF(AH97="Check Data ⚠","Check Data ⚠",VLOOKUP(AL97, 'G-3 Multipliers'!$P$2:$Q$6,2,FALSE))),"")</f>
        <v/>
      </c>
      <c r="AN97" s="512" t="str">
        <f t="shared" si="11"/>
        <v/>
      </c>
      <c r="AO97" s="238"/>
      <c r="AP97" s="239"/>
    </row>
    <row r="98" spans="1:42" x14ac:dyDescent="0.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c r="R98" s="237"/>
      <c r="S98" s="391" t="str">
        <f>IFERROR(INDEX('G-1 All Habitats'!$B$3:$B$129,MATCH(R98,'G-1 All Habitats'!$A$3:$A$129,0)),"")</f>
        <v/>
      </c>
      <c r="T98" s="497" t="str">
        <f t="shared" si="12"/>
        <v/>
      </c>
      <c r="U98" s="498" t="str">
        <f t="shared" si="13"/>
        <v/>
      </c>
      <c r="V98" s="536" t="str">
        <f t="shared" si="9"/>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0"/>
        <v/>
      </c>
      <c r="AE98" s="82"/>
      <c r="AF98" s="82"/>
      <c r="AG98" s="506" t="str">
        <f t="shared" si="14"/>
        <v/>
      </c>
      <c r="AH98" s="520" t="str">
        <f t="shared" si="15"/>
        <v/>
      </c>
      <c r="AI98" s="521" t="str">
        <f>IF(AH98="Check Data","Check Data",IFERROR(VLOOKUP(AH98,'G-4 Temporal multipliers'!$A$4:$C$36,3,FALSE),""))</f>
        <v/>
      </c>
      <c r="AJ98" s="497" t="str">
        <f>IF(S98="","",VLOOKUP(S98,'G-3 Multipliers'!$A$2:$E$129,4,FALSE))</f>
        <v/>
      </c>
      <c r="AK98" s="506" t="str">
        <f t="shared" si="16"/>
        <v/>
      </c>
      <c r="AL98" s="506" t="str">
        <f t="shared" si="17"/>
        <v/>
      </c>
      <c r="AM98" s="539" t="str">
        <f>IFERROR(IF(F98="","",IF(AH98="Check Data ⚠","Check Data ⚠",VLOOKUP(AL98, 'G-3 Multipliers'!$P$2:$Q$6,2,FALSE))),"")</f>
        <v/>
      </c>
      <c r="AN98" s="512" t="str">
        <f t="shared" si="11"/>
        <v/>
      </c>
      <c r="AO98" s="238"/>
      <c r="AP98" s="239"/>
    </row>
    <row r="99" spans="1:42" x14ac:dyDescent="0.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c r="R99" s="237"/>
      <c r="S99" s="391" t="str">
        <f>IFERROR(INDEX('G-1 All Habitats'!$B$3:$B$129,MATCH(R99,'G-1 All Habitats'!$A$3:$A$129,0)),"")</f>
        <v/>
      </c>
      <c r="T99" s="497" t="str">
        <f t="shared" si="12"/>
        <v/>
      </c>
      <c r="U99" s="498" t="str">
        <f t="shared" si="13"/>
        <v/>
      </c>
      <c r="V99" s="536" t="str">
        <f t="shared" si="9"/>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0"/>
        <v/>
      </c>
      <c r="AE99" s="82"/>
      <c r="AF99" s="82"/>
      <c r="AG99" s="506" t="str">
        <f t="shared" si="14"/>
        <v/>
      </c>
      <c r="AH99" s="520" t="str">
        <f t="shared" si="15"/>
        <v/>
      </c>
      <c r="AI99" s="521" t="str">
        <f>IF(AH99="Check Data","Check Data",IFERROR(VLOOKUP(AH99,'G-4 Temporal multipliers'!$A$4:$C$36,3,FALSE),""))</f>
        <v/>
      </c>
      <c r="AJ99" s="497" t="str">
        <f>IF(S99="","",VLOOKUP(S99,'G-3 Multipliers'!$A$2:$E$129,4,FALSE))</f>
        <v/>
      </c>
      <c r="AK99" s="506" t="str">
        <f t="shared" si="16"/>
        <v/>
      </c>
      <c r="AL99" s="506" t="str">
        <f t="shared" si="17"/>
        <v/>
      </c>
      <c r="AM99" s="539" t="str">
        <f>IFERROR(IF(F99="","",IF(AH99="Check Data ⚠","Check Data ⚠",VLOOKUP(AL99, 'G-3 Multipliers'!$P$2:$Q$6,2,FALSE))),"")</f>
        <v/>
      </c>
      <c r="AN99" s="512" t="str">
        <f t="shared" si="11"/>
        <v/>
      </c>
      <c r="AO99" s="238"/>
      <c r="AP99" s="239"/>
    </row>
    <row r="100" spans="1:42" x14ac:dyDescent="0.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c r="R100" s="237"/>
      <c r="S100" s="391" t="str">
        <f>IFERROR(INDEX('G-1 All Habitats'!$B$3:$B$129,MATCH(R100,'G-1 All Habitats'!$A$3:$A$129,0)),"")</f>
        <v/>
      </c>
      <c r="T100" s="497" t="str">
        <f t="shared" si="12"/>
        <v/>
      </c>
      <c r="U100" s="498" t="str">
        <f t="shared" si="13"/>
        <v/>
      </c>
      <c r="V100" s="536" t="str">
        <f t="shared" si="9"/>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0"/>
        <v/>
      </c>
      <c r="AE100" s="82"/>
      <c r="AF100" s="82"/>
      <c r="AG100" s="506" t="str">
        <f t="shared" si="14"/>
        <v/>
      </c>
      <c r="AH100" s="520" t="str">
        <f t="shared" si="15"/>
        <v/>
      </c>
      <c r="AI100" s="521" t="str">
        <f>IF(AH100="Check Data","Check Data",IFERROR(VLOOKUP(AH100,'G-4 Temporal multipliers'!$A$4:$C$36,3,FALSE),""))</f>
        <v/>
      </c>
      <c r="AJ100" s="497" t="str">
        <f>IF(S100="","",VLOOKUP(S100,'G-3 Multipliers'!$A$2:$E$129,4,FALSE))</f>
        <v/>
      </c>
      <c r="AK100" s="506" t="str">
        <f t="shared" si="16"/>
        <v/>
      </c>
      <c r="AL100" s="506" t="str">
        <f t="shared" si="17"/>
        <v/>
      </c>
      <c r="AM100" s="539" t="str">
        <f>IFERROR(IF(F100="","",IF(AH100="Check Data ⚠","Check Data ⚠",VLOOKUP(AL100, 'G-3 Multipliers'!$P$2:$Q$6,2,FALSE))),"")</f>
        <v/>
      </c>
      <c r="AN100" s="512" t="str">
        <f t="shared" si="11"/>
        <v/>
      </c>
      <c r="AO100" s="238"/>
      <c r="AP100" s="239"/>
    </row>
    <row r="101" spans="1:42" x14ac:dyDescent="0.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c r="R101" s="237"/>
      <c r="S101" s="391" t="str">
        <f>IFERROR(INDEX('G-1 All Habitats'!$B$3:$B$129,MATCH(R101,'G-1 All Habitats'!$A$3:$A$129,0)),"")</f>
        <v/>
      </c>
      <c r="T101" s="497" t="str">
        <f t="shared" si="12"/>
        <v/>
      </c>
      <c r="U101" s="498" t="str">
        <f t="shared" si="13"/>
        <v/>
      </c>
      <c r="V101" s="536" t="str">
        <f t="shared" si="9"/>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0"/>
        <v/>
      </c>
      <c r="AE101" s="82"/>
      <c r="AF101" s="82"/>
      <c r="AG101" s="506" t="str">
        <f t="shared" si="14"/>
        <v/>
      </c>
      <c r="AH101" s="520" t="str">
        <f t="shared" si="15"/>
        <v/>
      </c>
      <c r="AI101" s="521" t="str">
        <f>IF(AH101="Check Data","Check Data",IFERROR(VLOOKUP(AH101,'G-4 Temporal multipliers'!$A$4:$C$36,3,FALSE),""))</f>
        <v/>
      </c>
      <c r="AJ101" s="497" t="str">
        <f>IF(S101="","",VLOOKUP(S101,'G-3 Multipliers'!$A$2:$E$129,4,FALSE))</f>
        <v/>
      </c>
      <c r="AK101" s="506" t="str">
        <f t="shared" si="16"/>
        <v/>
      </c>
      <c r="AL101" s="506" t="str">
        <f t="shared" si="17"/>
        <v/>
      </c>
      <c r="AM101" s="539" t="str">
        <f>IFERROR(IF(F101="","",IF(AH101="Check Data ⚠","Check Data ⚠",VLOOKUP(AL101, 'G-3 Multipliers'!$P$2:$Q$6,2,FALSE))),"")</f>
        <v/>
      </c>
      <c r="AN101" s="512" t="str">
        <f t="shared" si="11"/>
        <v/>
      </c>
      <c r="AO101" s="238"/>
      <c r="AP101" s="239"/>
    </row>
    <row r="102" spans="1:42" x14ac:dyDescent="0.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c r="R102" s="237"/>
      <c r="S102" s="391" t="str">
        <f>IFERROR(INDEX('G-1 All Habitats'!$B$3:$B$129,MATCH(R102,'G-1 All Habitats'!$A$3:$A$129,0)),"")</f>
        <v/>
      </c>
      <c r="T102" s="497" t="str">
        <f t="shared" si="12"/>
        <v/>
      </c>
      <c r="U102" s="498" t="str">
        <f t="shared" si="13"/>
        <v/>
      </c>
      <c r="V102" s="536" t="str">
        <f t="shared" si="9"/>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0"/>
        <v/>
      </c>
      <c r="AE102" s="82"/>
      <c r="AF102" s="82"/>
      <c r="AG102" s="506" t="str">
        <f t="shared" si="14"/>
        <v/>
      </c>
      <c r="AH102" s="520" t="str">
        <f t="shared" si="15"/>
        <v/>
      </c>
      <c r="AI102" s="521" t="str">
        <f>IF(AH102="Check Data","Check Data",IFERROR(VLOOKUP(AH102,'G-4 Temporal multipliers'!$A$4:$C$36,3,FALSE),""))</f>
        <v/>
      </c>
      <c r="AJ102" s="497" t="str">
        <f>IF(S102="","",VLOOKUP(S102,'G-3 Multipliers'!$A$2:$E$129,4,FALSE))</f>
        <v/>
      </c>
      <c r="AK102" s="506" t="str">
        <f t="shared" si="16"/>
        <v/>
      </c>
      <c r="AL102" s="506" t="str">
        <f t="shared" si="17"/>
        <v/>
      </c>
      <c r="AM102" s="539" t="str">
        <f>IFERROR(IF(F102="","",IF(AH102="Check Data ⚠","Check Data ⚠",VLOOKUP(AL102, 'G-3 Multipliers'!$P$2:$Q$6,2,FALSE))),"")</f>
        <v/>
      </c>
      <c r="AN102" s="512" t="str">
        <f t="shared" si="11"/>
        <v/>
      </c>
      <c r="AO102" s="238"/>
      <c r="AP102" s="239"/>
    </row>
    <row r="103" spans="1:42" x14ac:dyDescent="0.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c r="R103" s="237"/>
      <c r="S103" s="391" t="str">
        <f>IFERROR(INDEX('G-1 All Habitats'!$B$3:$B$129,MATCH(R103,'G-1 All Habitats'!$A$3:$A$129,0)),"")</f>
        <v/>
      </c>
      <c r="T103" s="497" t="str">
        <f t="shared" si="12"/>
        <v/>
      </c>
      <c r="U103" s="498" t="str">
        <f t="shared" si="13"/>
        <v/>
      </c>
      <c r="V103" s="536" t="str">
        <f t="shared" si="9"/>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0"/>
        <v/>
      </c>
      <c r="AE103" s="82"/>
      <c r="AF103" s="82"/>
      <c r="AG103" s="506" t="str">
        <f t="shared" si="14"/>
        <v/>
      </c>
      <c r="AH103" s="520" t="str">
        <f t="shared" si="15"/>
        <v/>
      </c>
      <c r="AI103" s="521" t="str">
        <f>IF(AH103="Check Data","Check Data",IFERROR(VLOOKUP(AH103,'G-4 Temporal multipliers'!$A$4:$C$36,3,FALSE),""))</f>
        <v/>
      </c>
      <c r="AJ103" s="497" t="str">
        <f>IF(S103="","",VLOOKUP(S103,'G-3 Multipliers'!$A$2:$E$129,4,FALSE))</f>
        <v/>
      </c>
      <c r="AK103" s="506" t="str">
        <f t="shared" si="16"/>
        <v/>
      </c>
      <c r="AL103" s="506" t="str">
        <f t="shared" si="17"/>
        <v/>
      </c>
      <c r="AM103" s="539" t="str">
        <f>IFERROR(IF(F103="","",IF(AH103="Check Data ⚠","Check Data ⚠",VLOOKUP(AL103, 'G-3 Multipliers'!$P$2:$Q$6,2,FALSE))),"")</f>
        <v/>
      </c>
      <c r="AN103" s="512" t="str">
        <f t="shared" si="11"/>
        <v/>
      </c>
      <c r="AO103" s="238"/>
      <c r="AP103" s="239"/>
    </row>
    <row r="104" spans="1:42" x14ac:dyDescent="0.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c r="R104" s="237"/>
      <c r="S104" s="391" t="str">
        <f>IFERROR(INDEX('G-1 All Habitats'!$B$3:$B$129,MATCH(R104,'G-1 All Habitats'!$A$3:$A$129,0)),"")</f>
        <v/>
      </c>
      <c r="T104" s="497" t="str">
        <f t="shared" si="12"/>
        <v/>
      </c>
      <c r="U104" s="498" t="str">
        <f t="shared" si="13"/>
        <v/>
      </c>
      <c r="V104" s="536" t="str">
        <f t="shared" si="9"/>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0"/>
        <v/>
      </c>
      <c r="AE104" s="82"/>
      <c r="AF104" s="82"/>
      <c r="AG104" s="506" t="str">
        <f t="shared" si="14"/>
        <v/>
      </c>
      <c r="AH104" s="520" t="str">
        <f t="shared" si="15"/>
        <v/>
      </c>
      <c r="AI104" s="521" t="str">
        <f>IF(AH104="Check Data","Check Data",IFERROR(VLOOKUP(AH104,'G-4 Temporal multipliers'!$A$4:$C$36,3,FALSE),""))</f>
        <v/>
      </c>
      <c r="AJ104" s="497" t="str">
        <f>IF(S104="","",VLOOKUP(S104,'G-3 Multipliers'!$A$2:$E$129,4,FALSE))</f>
        <v/>
      </c>
      <c r="AK104" s="506" t="str">
        <f t="shared" si="16"/>
        <v/>
      </c>
      <c r="AL104" s="506" t="str">
        <f t="shared" si="17"/>
        <v/>
      </c>
      <c r="AM104" s="539" t="str">
        <f>IFERROR(IF(F104="","",IF(AH104="Check Data ⚠","Check Data ⚠",VLOOKUP(AL104, 'G-3 Multipliers'!$P$2:$Q$6,2,FALSE))),"")</f>
        <v/>
      </c>
      <c r="AN104" s="512" t="str">
        <f t="shared" si="11"/>
        <v/>
      </c>
      <c r="AO104" s="238"/>
      <c r="AP104" s="239"/>
    </row>
    <row r="105" spans="1:42" x14ac:dyDescent="0.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c r="R105" s="237"/>
      <c r="S105" s="391" t="str">
        <f>IFERROR(INDEX('G-1 All Habitats'!$B$3:$B$129,MATCH(R105,'G-1 All Habitats'!$A$3:$A$129,0)),"")</f>
        <v/>
      </c>
      <c r="T105" s="497" t="str">
        <f t="shared" si="12"/>
        <v/>
      </c>
      <c r="U105" s="498" t="str">
        <f t="shared" si="13"/>
        <v/>
      </c>
      <c r="V105" s="536" t="str">
        <f t="shared" si="9"/>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0"/>
        <v/>
      </c>
      <c r="AE105" s="82"/>
      <c r="AF105" s="82"/>
      <c r="AG105" s="506" t="str">
        <f t="shared" si="14"/>
        <v/>
      </c>
      <c r="AH105" s="520" t="str">
        <f t="shared" si="15"/>
        <v/>
      </c>
      <c r="AI105" s="521" t="str">
        <f>IF(AH105="Check Data","Check Data",IFERROR(VLOOKUP(AH105,'G-4 Temporal multipliers'!$A$4:$C$36,3,FALSE),""))</f>
        <v/>
      </c>
      <c r="AJ105" s="497" t="str">
        <f>IF(S105="","",VLOOKUP(S105,'G-3 Multipliers'!$A$2:$E$129,4,FALSE))</f>
        <v/>
      </c>
      <c r="AK105" s="506" t="str">
        <f t="shared" si="16"/>
        <v/>
      </c>
      <c r="AL105" s="506" t="str">
        <f t="shared" si="17"/>
        <v/>
      </c>
      <c r="AM105" s="539" t="str">
        <f>IFERROR(IF(F105="","",IF(AH105="Check Data ⚠","Check Data ⚠",VLOOKUP(AL105, 'G-3 Multipliers'!$P$2:$Q$6,2,FALSE))),"")</f>
        <v/>
      </c>
      <c r="AN105" s="512" t="str">
        <f t="shared" si="11"/>
        <v/>
      </c>
      <c r="AO105" s="238"/>
      <c r="AP105" s="239"/>
    </row>
    <row r="106" spans="1:42" x14ac:dyDescent="0.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c r="R106" s="237"/>
      <c r="S106" s="391" t="str">
        <f>IFERROR(INDEX('G-1 All Habitats'!$B$3:$B$129,MATCH(R106,'G-1 All Habitats'!$A$3:$A$129,0)),"")</f>
        <v/>
      </c>
      <c r="T106" s="497" t="str">
        <f t="shared" si="12"/>
        <v/>
      </c>
      <c r="U106" s="498" t="str">
        <f t="shared" si="13"/>
        <v/>
      </c>
      <c r="V106" s="536" t="str">
        <f t="shared" si="9"/>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0"/>
        <v/>
      </c>
      <c r="AE106" s="82"/>
      <c r="AF106" s="82"/>
      <c r="AG106" s="506" t="str">
        <f t="shared" si="14"/>
        <v/>
      </c>
      <c r="AH106" s="520" t="str">
        <f t="shared" si="15"/>
        <v/>
      </c>
      <c r="AI106" s="521" t="str">
        <f>IF(AH106="Check Data","Check Data",IFERROR(VLOOKUP(AH106,'G-4 Temporal multipliers'!$A$4:$C$36,3,FALSE),""))</f>
        <v/>
      </c>
      <c r="AJ106" s="497" t="str">
        <f>IF(S106="","",VLOOKUP(S106,'G-3 Multipliers'!$A$2:$E$129,4,FALSE))</f>
        <v/>
      </c>
      <c r="AK106" s="506" t="str">
        <f t="shared" si="16"/>
        <v/>
      </c>
      <c r="AL106" s="506" t="str">
        <f t="shared" si="17"/>
        <v/>
      </c>
      <c r="AM106" s="539" t="str">
        <f>IFERROR(IF(F106="","",IF(AH106="Check Data ⚠","Check Data ⚠",VLOOKUP(AL106, 'G-3 Multipliers'!$P$2:$Q$6,2,FALSE))),"")</f>
        <v/>
      </c>
      <c r="AN106" s="512" t="str">
        <f t="shared" si="11"/>
        <v/>
      </c>
      <c r="AO106" s="238"/>
      <c r="AP106" s="239"/>
    </row>
    <row r="107" spans="1:42" x14ac:dyDescent="0.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c r="R107" s="237"/>
      <c r="S107" s="391" t="str">
        <f>IFERROR(INDEX('G-1 All Habitats'!$B$3:$B$129,MATCH(R107,'G-1 All Habitats'!$A$3:$A$129,0)),"")</f>
        <v/>
      </c>
      <c r="T107" s="497" t="str">
        <f t="shared" si="12"/>
        <v/>
      </c>
      <c r="U107" s="498" t="str">
        <f t="shared" si="13"/>
        <v/>
      </c>
      <c r="V107" s="536" t="str">
        <f t="shared" si="9"/>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0"/>
        <v/>
      </c>
      <c r="AE107" s="82"/>
      <c r="AF107" s="82"/>
      <c r="AG107" s="506" t="str">
        <f t="shared" si="14"/>
        <v/>
      </c>
      <c r="AH107" s="520" t="str">
        <f t="shared" si="15"/>
        <v/>
      </c>
      <c r="AI107" s="521" t="str">
        <f>IF(AH107="Check Data","Check Data",IFERROR(VLOOKUP(AH107,'G-4 Temporal multipliers'!$A$4:$C$36,3,FALSE),""))</f>
        <v/>
      </c>
      <c r="AJ107" s="497" t="str">
        <f>IF(S107="","",VLOOKUP(S107,'G-3 Multipliers'!$A$2:$E$129,4,FALSE))</f>
        <v/>
      </c>
      <c r="AK107" s="506" t="str">
        <f t="shared" si="16"/>
        <v/>
      </c>
      <c r="AL107" s="506" t="str">
        <f t="shared" si="17"/>
        <v/>
      </c>
      <c r="AM107" s="539" t="str">
        <f>IFERROR(IF(F107="","",IF(AH107="Check Data ⚠","Check Data ⚠",VLOOKUP(AL107, 'G-3 Multipliers'!$P$2:$Q$6,2,FALSE))),"")</f>
        <v/>
      </c>
      <c r="AN107" s="512" t="str">
        <f t="shared" si="11"/>
        <v/>
      </c>
      <c r="AO107" s="238"/>
      <c r="AP107" s="239"/>
    </row>
    <row r="108" spans="1:42" x14ac:dyDescent="0.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c r="R108" s="237"/>
      <c r="S108" s="391" t="str">
        <f>IFERROR(INDEX('G-1 All Habitats'!$B$3:$B$129,MATCH(R108,'G-1 All Habitats'!$A$3:$A$129,0)),"")</f>
        <v/>
      </c>
      <c r="T108" s="497" t="str">
        <f t="shared" si="12"/>
        <v/>
      </c>
      <c r="U108" s="498" t="str">
        <f t="shared" si="13"/>
        <v/>
      </c>
      <c r="V108" s="536" t="str">
        <f t="shared" si="9"/>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0"/>
        <v/>
      </c>
      <c r="AE108" s="82"/>
      <c r="AF108" s="82"/>
      <c r="AG108" s="506" t="str">
        <f t="shared" si="14"/>
        <v/>
      </c>
      <c r="AH108" s="520" t="str">
        <f t="shared" si="15"/>
        <v/>
      </c>
      <c r="AI108" s="521" t="str">
        <f>IF(AH108="Check Data","Check Data",IFERROR(VLOOKUP(AH108,'G-4 Temporal multipliers'!$A$4:$C$36,3,FALSE),""))</f>
        <v/>
      </c>
      <c r="AJ108" s="497" t="str">
        <f>IF(S108="","",VLOOKUP(S108,'G-3 Multipliers'!$A$2:$E$129,4,FALSE))</f>
        <v/>
      </c>
      <c r="AK108" s="506" t="str">
        <f t="shared" si="16"/>
        <v/>
      </c>
      <c r="AL108" s="506" t="str">
        <f t="shared" si="17"/>
        <v/>
      </c>
      <c r="AM108" s="539" t="str">
        <f>IFERROR(IF(F108="","",IF(AH108="Check Data ⚠","Check Data ⚠",VLOOKUP(AL108, 'G-3 Multipliers'!$P$2:$Q$6,2,FALSE))),"")</f>
        <v/>
      </c>
      <c r="AN108" s="512" t="str">
        <f t="shared" si="11"/>
        <v/>
      </c>
      <c r="AO108" s="238"/>
      <c r="AP108" s="239"/>
    </row>
    <row r="109" spans="1:42" x14ac:dyDescent="0.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c r="R109" s="237"/>
      <c r="S109" s="391" t="str">
        <f>IFERROR(INDEX('G-1 All Habitats'!$B$3:$B$129,MATCH(R109,'G-1 All Habitats'!$A$3:$A$129,0)),"")</f>
        <v/>
      </c>
      <c r="T109" s="497" t="str">
        <f t="shared" si="12"/>
        <v/>
      </c>
      <c r="U109" s="498" t="str">
        <f t="shared" si="13"/>
        <v/>
      </c>
      <c r="V109" s="536" t="str">
        <f t="shared" si="9"/>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0"/>
        <v/>
      </c>
      <c r="AE109" s="82"/>
      <c r="AF109" s="82"/>
      <c r="AG109" s="506" t="str">
        <f t="shared" si="14"/>
        <v/>
      </c>
      <c r="AH109" s="520" t="str">
        <f t="shared" si="15"/>
        <v/>
      </c>
      <c r="AI109" s="521" t="str">
        <f>IF(AH109="Check Data","Check Data",IFERROR(VLOOKUP(AH109,'G-4 Temporal multipliers'!$A$4:$C$36,3,FALSE),""))</f>
        <v/>
      </c>
      <c r="AJ109" s="497" t="str">
        <f>IF(S109="","",VLOOKUP(S109,'G-3 Multipliers'!$A$2:$E$129,4,FALSE))</f>
        <v/>
      </c>
      <c r="AK109" s="506" t="str">
        <f t="shared" si="16"/>
        <v/>
      </c>
      <c r="AL109" s="506" t="str">
        <f t="shared" si="17"/>
        <v/>
      </c>
      <c r="AM109" s="539" t="str">
        <f>IFERROR(IF(F109="","",IF(AH109="Check Data ⚠","Check Data ⚠",VLOOKUP(AL109, 'G-3 Multipliers'!$P$2:$Q$6,2,FALSE))),"")</f>
        <v/>
      </c>
      <c r="AN109" s="512" t="str">
        <f t="shared" si="11"/>
        <v/>
      </c>
      <c r="AO109" s="238"/>
      <c r="AP109" s="239"/>
    </row>
    <row r="110" spans="1:42" x14ac:dyDescent="0.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c r="R110" s="237"/>
      <c r="S110" s="391" t="str">
        <f>IFERROR(INDEX('G-1 All Habitats'!$B$3:$B$129,MATCH(R110,'G-1 All Habitats'!$A$3:$A$129,0)),"")</f>
        <v/>
      </c>
      <c r="T110" s="497" t="str">
        <f t="shared" si="12"/>
        <v/>
      </c>
      <c r="U110" s="498" t="str">
        <f t="shared" si="13"/>
        <v/>
      </c>
      <c r="V110" s="536" t="str">
        <f t="shared" si="9"/>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0"/>
        <v/>
      </c>
      <c r="AE110" s="82"/>
      <c r="AF110" s="82"/>
      <c r="AG110" s="506" t="str">
        <f t="shared" si="14"/>
        <v/>
      </c>
      <c r="AH110" s="520" t="str">
        <f t="shared" si="15"/>
        <v/>
      </c>
      <c r="AI110" s="521" t="str">
        <f>IF(AH110="Check Data","Check Data",IFERROR(VLOOKUP(AH110,'G-4 Temporal multipliers'!$A$4:$C$36,3,FALSE),""))</f>
        <v/>
      </c>
      <c r="AJ110" s="497" t="str">
        <f>IF(S110="","",VLOOKUP(S110,'G-3 Multipliers'!$A$2:$E$129,4,FALSE))</f>
        <v/>
      </c>
      <c r="AK110" s="506" t="str">
        <f t="shared" si="16"/>
        <v/>
      </c>
      <c r="AL110" s="506" t="str">
        <f t="shared" si="17"/>
        <v/>
      </c>
      <c r="AM110" s="539" t="str">
        <f>IFERROR(IF(F110="","",IF(AH110="Check Data ⚠","Check Data ⚠",VLOOKUP(AL110, 'G-3 Multipliers'!$P$2:$Q$6,2,FALSE))),"")</f>
        <v/>
      </c>
      <c r="AN110" s="512" t="str">
        <f t="shared" si="11"/>
        <v/>
      </c>
      <c r="AO110" s="238"/>
      <c r="AP110" s="239"/>
    </row>
    <row r="111" spans="1:42" x14ac:dyDescent="0.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c r="R111" s="237"/>
      <c r="S111" s="391" t="str">
        <f>IFERROR(INDEX('G-1 All Habitats'!$B$3:$B$129,MATCH(R111,'G-1 All Habitats'!$A$3:$A$129,0)),"")</f>
        <v/>
      </c>
      <c r="T111" s="497" t="str">
        <f t="shared" si="12"/>
        <v/>
      </c>
      <c r="U111" s="498" t="str">
        <f t="shared" si="13"/>
        <v/>
      </c>
      <c r="V111" s="536" t="str">
        <f t="shared" si="9"/>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0"/>
        <v/>
      </c>
      <c r="AE111" s="82"/>
      <c r="AF111" s="82"/>
      <c r="AG111" s="506" t="str">
        <f t="shared" si="14"/>
        <v/>
      </c>
      <c r="AH111" s="520" t="str">
        <f t="shared" si="15"/>
        <v/>
      </c>
      <c r="AI111" s="521" t="str">
        <f>IF(AH111="Check Data","Check Data",IFERROR(VLOOKUP(AH111,'G-4 Temporal multipliers'!$A$4:$C$36,3,FALSE),""))</f>
        <v/>
      </c>
      <c r="AJ111" s="497" t="str">
        <f>IF(S111="","",VLOOKUP(S111,'G-3 Multipliers'!$A$2:$E$129,4,FALSE))</f>
        <v/>
      </c>
      <c r="AK111" s="506" t="str">
        <f t="shared" si="16"/>
        <v/>
      </c>
      <c r="AL111" s="506" t="str">
        <f t="shared" si="17"/>
        <v/>
      </c>
      <c r="AM111" s="539" t="str">
        <f>IFERROR(IF(F111="","",IF(AH111="Check Data ⚠","Check Data ⚠",VLOOKUP(AL111, 'G-3 Multipliers'!$P$2:$Q$6,2,FALSE))),"")</f>
        <v/>
      </c>
      <c r="AN111" s="512" t="str">
        <f t="shared" si="11"/>
        <v/>
      </c>
      <c r="AO111" s="238"/>
      <c r="AP111" s="239"/>
    </row>
    <row r="112" spans="1:42" x14ac:dyDescent="0.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c r="R112" s="237"/>
      <c r="S112" s="391" t="str">
        <f>IFERROR(INDEX('G-1 All Habitats'!$B$3:$B$129,MATCH(R112,'G-1 All Habitats'!$A$3:$A$129,0)),"")</f>
        <v/>
      </c>
      <c r="T112" s="497" t="str">
        <f t="shared" si="12"/>
        <v/>
      </c>
      <c r="U112" s="498" t="str">
        <f t="shared" si="13"/>
        <v/>
      </c>
      <c r="V112" s="536" t="str">
        <f t="shared" si="9"/>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0"/>
        <v/>
      </c>
      <c r="AE112" s="82"/>
      <c r="AF112" s="82"/>
      <c r="AG112" s="506" t="str">
        <f t="shared" si="14"/>
        <v/>
      </c>
      <c r="AH112" s="520" t="str">
        <f t="shared" si="15"/>
        <v/>
      </c>
      <c r="AI112" s="521" t="str">
        <f>IF(AH112="Check Data","Check Data",IFERROR(VLOOKUP(AH112,'G-4 Temporal multipliers'!$A$4:$C$36,3,FALSE),""))</f>
        <v/>
      </c>
      <c r="AJ112" s="497" t="str">
        <f>IF(S112="","",VLOOKUP(S112,'G-3 Multipliers'!$A$2:$E$129,4,FALSE))</f>
        <v/>
      </c>
      <c r="AK112" s="506" t="str">
        <f t="shared" si="16"/>
        <v/>
      </c>
      <c r="AL112" s="506" t="str">
        <f t="shared" si="17"/>
        <v/>
      </c>
      <c r="AM112" s="539" t="str">
        <f>IFERROR(IF(F112="","",IF(AH112="Check Data ⚠","Check Data ⚠",VLOOKUP(AL112, 'G-3 Multipliers'!$P$2:$Q$6,2,FALSE))),"")</f>
        <v/>
      </c>
      <c r="AN112" s="512" t="str">
        <f t="shared" si="11"/>
        <v/>
      </c>
      <c r="AO112" s="238"/>
      <c r="AP112" s="239"/>
    </row>
    <row r="113" spans="1:42" x14ac:dyDescent="0.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c r="R113" s="237"/>
      <c r="S113" s="391" t="str">
        <f>IFERROR(INDEX('G-1 All Habitats'!$B$3:$B$129,MATCH(R113,'G-1 All Habitats'!$A$3:$A$129,0)),"")</f>
        <v/>
      </c>
      <c r="T113" s="497" t="str">
        <f t="shared" si="12"/>
        <v/>
      </c>
      <c r="U113" s="498" t="str">
        <f t="shared" si="13"/>
        <v/>
      </c>
      <c r="V113" s="536" t="str">
        <f t="shared" si="9"/>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0"/>
        <v/>
      </c>
      <c r="AE113" s="82"/>
      <c r="AF113" s="82"/>
      <c r="AG113" s="506" t="str">
        <f t="shared" si="14"/>
        <v/>
      </c>
      <c r="AH113" s="520" t="str">
        <f t="shared" si="15"/>
        <v/>
      </c>
      <c r="AI113" s="521" t="str">
        <f>IF(AH113="Check Data","Check Data",IFERROR(VLOOKUP(AH113,'G-4 Temporal multipliers'!$A$4:$C$36,3,FALSE),""))</f>
        <v/>
      </c>
      <c r="AJ113" s="497" t="str">
        <f>IF(S113="","",VLOOKUP(S113,'G-3 Multipliers'!$A$2:$E$129,4,FALSE))</f>
        <v/>
      </c>
      <c r="AK113" s="506" t="str">
        <f t="shared" si="16"/>
        <v/>
      </c>
      <c r="AL113" s="506" t="str">
        <f t="shared" si="17"/>
        <v/>
      </c>
      <c r="AM113" s="539" t="str">
        <f>IFERROR(IF(F113="","",IF(AH113="Check Data ⚠","Check Data ⚠",VLOOKUP(AL113, 'G-3 Multipliers'!$P$2:$Q$6,2,FALSE))),"")</f>
        <v/>
      </c>
      <c r="AN113" s="512" t="str">
        <f t="shared" si="11"/>
        <v/>
      </c>
      <c r="AO113" s="238"/>
      <c r="AP113" s="239"/>
    </row>
    <row r="114" spans="1:42" x14ac:dyDescent="0.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c r="R114" s="237"/>
      <c r="S114" s="391" t="str">
        <f>IFERROR(INDEX('G-1 All Habitats'!$B$3:$B$129,MATCH(R114,'G-1 All Habitats'!$A$3:$A$129,0)),"")</f>
        <v/>
      </c>
      <c r="T114" s="497" t="str">
        <f t="shared" si="12"/>
        <v/>
      </c>
      <c r="U114" s="498" t="str">
        <f t="shared" si="13"/>
        <v/>
      </c>
      <c r="V114" s="536" t="str">
        <f t="shared" si="9"/>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0"/>
        <v/>
      </c>
      <c r="AE114" s="82"/>
      <c r="AF114" s="82"/>
      <c r="AG114" s="506" t="str">
        <f t="shared" si="14"/>
        <v/>
      </c>
      <c r="AH114" s="520" t="str">
        <f t="shared" si="15"/>
        <v/>
      </c>
      <c r="AI114" s="521" t="str">
        <f>IF(AH114="Check Data","Check Data",IFERROR(VLOOKUP(AH114,'G-4 Temporal multipliers'!$A$4:$C$36,3,FALSE),""))</f>
        <v/>
      </c>
      <c r="AJ114" s="497" t="str">
        <f>IF(S114="","",VLOOKUP(S114,'G-3 Multipliers'!$A$2:$E$129,4,FALSE))</f>
        <v/>
      </c>
      <c r="AK114" s="506" t="str">
        <f t="shared" si="16"/>
        <v/>
      </c>
      <c r="AL114" s="506" t="str">
        <f t="shared" si="17"/>
        <v/>
      </c>
      <c r="AM114" s="539" t="str">
        <f>IFERROR(IF(F114="","",IF(AH114="Check Data ⚠","Check Data ⚠",VLOOKUP(AL114, 'G-3 Multipliers'!$P$2:$Q$6,2,FALSE))),"")</f>
        <v/>
      </c>
      <c r="AN114" s="512" t="str">
        <f t="shared" si="11"/>
        <v/>
      </c>
      <c r="AO114" s="238"/>
      <c r="AP114" s="239"/>
    </row>
    <row r="115" spans="1:42" x14ac:dyDescent="0.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c r="R115" s="237"/>
      <c r="S115" s="391" t="str">
        <f>IFERROR(INDEX('G-1 All Habitats'!$B$3:$B$129,MATCH(R115,'G-1 All Habitats'!$A$3:$A$129,0)),"")</f>
        <v/>
      </c>
      <c r="T115" s="497" t="str">
        <f t="shared" si="12"/>
        <v/>
      </c>
      <c r="U115" s="498" t="str">
        <f t="shared" si="13"/>
        <v/>
      </c>
      <c r="V115" s="536" t="str">
        <f t="shared" si="9"/>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0"/>
        <v/>
      </c>
      <c r="AE115" s="82"/>
      <c r="AF115" s="82"/>
      <c r="AG115" s="506" t="str">
        <f t="shared" si="14"/>
        <v/>
      </c>
      <c r="AH115" s="520" t="str">
        <f t="shared" si="15"/>
        <v/>
      </c>
      <c r="AI115" s="521" t="str">
        <f>IF(AH115="Check Data","Check Data",IFERROR(VLOOKUP(AH115,'G-4 Temporal multipliers'!$A$4:$C$36,3,FALSE),""))</f>
        <v/>
      </c>
      <c r="AJ115" s="497" t="str">
        <f>IF(S115="","",VLOOKUP(S115,'G-3 Multipliers'!$A$2:$E$129,4,FALSE))</f>
        <v/>
      </c>
      <c r="AK115" s="506" t="str">
        <f t="shared" si="16"/>
        <v/>
      </c>
      <c r="AL115" s="506" t="str">
        <f t="shared" si="17"/>
        <v/>
      </c>
      <c r="AM115" s="539" t="str">
        <f>IFERROR(IF(F115="","",IF(AH115="Check Data ⚠","Check Data ⚠",VLOOKUP(AL115, 'G-3 Multipliers'!$P$2:$Q$6,2,FALSE))),"")</f>
        <v/>
      </c>
      <c r="AN115" s="512" t="str">
        <f t="shared" si="11"/>
        <v/>
      </c>
      <c r="AO115" s="238"/>
      <c r="AP115" s="239"/>
    </row>
    <row r="116" spans="1:42" x14ac:dyDescent="0.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c r="R116" s="237"/>
      <c r="S116" s="391" t="str">
        <f>IFERROR(INDEX('G-1 All Habitats'!$B$3:$B$129,MATCH(R116,'G-1 All Habitats'!$A$3:$A$129,0)),"")</f>
        <v/>
      </c>
      <c r="T116" s="497" t="str">
        <f t="shared" si="12"/>
        <v/>
      </c>
      <c r="U116" s="498" t="str">
        <f t="shared" si="13"/>
        <v/>
      </c>
      <c r="V116" s="536" t="str">
        <f t="shared" si="9"/>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0"/>
        <v/>
      </c>
      <c r="AE116" s="82"/>
      <c r="AF116" s="82"/>
      <c r="AG116" s="506" t="str">
        <f t="shared" si="14"/>
        <v/>
      </c>
      <c r="AH116" s="520" t="str">
        <f t="shared" si="15"/>
        <v/>
      </c>
      <c r="AI116" s="521" t="str">
        <f>IF(AH116="Check Data","Check Data",IFERROR(VLOOKUP(AH116,'G-4 Temporal multipliers'!$A$4:$C$36,3,FALSE),""))</f>
        <v/>
      </c>
      <c r="AJ116" s="497" t="str">
        <f>IF(S116="","",VLOOKUP(S116,'G-3 Multipliers'!$A$2:$E$129,4,FALSE))</f>
        <v/>
      </c>
      <c r="AK116" s="506" t="str">
        <f t="shared" si="16"/>
        <v/>
      </c>
      <c r="AL116" s="506" t="str">
        <f t="shared" si="17"/>
        <v/>
      </c>
      <c r="AM116" s="539" t="str">
        <f>IFERROR(IF(F116="","",IF(AH116="Check Data ⚠","Check Data ⚠",VLOOKUP(AL116, 'G-3 Multipliers'!$P$2:$Q$6,2,FALSE))),"")</f>
        <v/>
      </c>
      <c r="AN116" s="512" t="str">
        <f t="shared" si="11"/>
        <v/>
      </c>
      <c r="AO116" s="238"/>
      <c r="AP116" s="239"/>
    </row>
    <row r="117" spans="1:42" x14ac:dyDescent="0.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c r="R117" s="237"/>
      <c r="S117" s="391" t="str">
        <f>IFERROR(INDEX('G-1 All Habitats'!$B$3:$B$129,MATCH(R117,'G-1 All Habitats'!$A$3:$A$129,0)),"")</f>
        <v/>
      </c>
      <c r="T117" s="497" t="str">
        <f t="shared" si="12"/>
        <v/>
      </c>
      <c r="U117" s="498" t="str">
        <f t="shared" si="13"/>
        <v/>
      </c>
      <c r="V117" s="536" t="str">
        <f t="shared" si="9"/>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0"/>
        <v/>
      </c>
      <c r="AE117" s="82"/>
      <c r="AF117" s="82"/>
      <c r="AG117" s="506" t="str">
        <f t="shared" si="14"/>
        <v/>
      </c>
      <c r="AH117" s="520" t="str">
        <f t="shared" si="15"/>
        <v/>
      </c>
      <c r="AI117" s="521" t="str">
        <f>IF(AH117="Check Data","Check Data",IFERROR(VLOOKUP(AH117,'G-4 Temporal multipliers'!$A$4:$C$36,3,FALSE),""))</f>
        <v/>
      </c>
      <c r="AJ117" s="497" t="str">
        <f>IF(S117="","",VLOOKUP(S117,'G-3 Multipliers'!$A$2:$E$129,4,FALSE))</f>
        <v/>
      </c>
      <c r="AK117" s="506" t="str">
        <f t="shared" si="16"/>
        <v/>
      </c>
      <c r="AL117" s="506" t="str">
        <f t="shared" si="17"/>
        <v/>
      </c>
      <c r="AM117" s="539" t="str">
        <f>IFERROR(IF(F117="","",IF(AH117="Check Data ⚠","Check Data ⚠",VLOOKUP(AL117, 'G-3 Multipliers'!$P$2:$Q$6,2,FALSE))),"")</f>
        <v/>
      </c>
      <c r="AN117" s="512" t="str">
        <f t="shared" si="11"/>
        <v/>
      </c>
      <c r="AO117" s="238"/>
      <c r="AP117" s="239"/>
    </row>
    <row r="118" spans="1:42" x14ac:dyDescent="0.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c r="R118" s="237"/>
      <c r="S118" s="391" t="str">
        <f>IFERROR(INDEX('G-1 All Habitats'!$B$3:$B$129,MATCH(R118,'G-1 All Habitats'!$A$3:$A$129,0)),"")</f>
        <v/>
      </c>
      <c r="T118" s="497" t="str">
        <f t="shared" si="12"/>
        <v/>
      </c>
      <c r="U118" s="498" t="str">
        <f t="shared" si="13"/>
        <v/>
      </c>
      <c r="V118" s="536" t="str">
        <f t="shared" si="9"/>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0"/>
        <v/>
      </c>
      <c r="AE118" s="82"/>
      <c r="AF118" s="82"/>
      <c r="AG118" s="506" t="str">
        <f t="shared" si="14"/>
        <v/>
      </c>
      <c r="AH118" s="520" t="str">
        <f t="shared" si="15"/>
        <v/>
      </c>
      <c r="AI118" s="521" t="str">
        <f>IF(AH118="Check Data","Check Data",IFERROR(VLOOKUP(AH118,'G-4 Temporal multipliers'!$A$4:$C$36,3,FALSE),""))</f>
        <v/>
      </c>
      <c r="AJ118" s="497" t="str">
        <f>IF(S118="","",VLOOKUP(S118,'G-3 Multipliers'!$A$2:$E$129,4,FALSE))</f>
        <v/>
      </c>
      <c r="AK118" s="506" t="str">
        <f t="shared" si="16"/>
        <v/>
      </c>
      <c r="AL118" s="506" t="str">
        <f t="shared" si="17"/>
        <v/>
      </c>
      <c r="AM118" s="539" t="str">
        <f>IFERROR(IF(F118="","",IF(AH118="Check Data ⚠","Check Data ⚠",VLOOKUP(AL118, 'G-3 Multipliers'!$P$2:$Q$6,2,FALSE))),"")</f>
        <v/>
      </c>
      <c r="AN118" s="512" t="str">
        <f t="shared" si="11"/>
        <v/>
      </c>
      <c r="AO118" s="238"/>
      <c r="AP118" s="239"/>
    </row>
    <row r="119" spans="1:42" x14ac:dyDescent="0.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c r="R119" s="237"/>
      <c r="S119" s="391" t="str">
        <f>IFERROR(INDEX('G-1 All Habitats'!$B$3:$B$129,MATCH(R119,'G-1 All Habitats'!$A$3:$A$129,0)),"")</f>
        <v/>
      </c>
      <c r="T119" s="497" t="str">
        <f t="shared" si="12"/>
        <v/>
      </c>
      <c r="U119" s="498" t="str">
        <f t="shared" si="13"/>
        <v/>
      </c>
      <c r="V119" s="536" t="str">
        <f t="shared" si="9"/>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0"/>
        <v/>
      </c>
      <c r="AE119" s="82"/>
      <c r="AF119" s="82"/>
      <c r="AG119" s="506" t="str">
        <f t="shared" si="14"/>
        <v/>
      </c>
      <c r="AH119" s="520" t="str">
        <f t="shared" si="15"/>
        <v/>
      </c>
      <c r="AI119" s="521" t="str">
        <f>IF(AH119="Check Data","Check Data",IFERROR(VLOOKUP(AH119,'G-4 Temporal multipliers'!$A$4:$C$36,3,FALSE),""))</f>
        <v/>
      </c>
      <c r="AJ119" s="497" t="str">
        <f>IF(S119="","",VLOOKUP(S119,'G-3 Multipliers'!$A$2:$E$129,4,FALSE))</f>
        <v/>
      </c>
      <c r="AK119" s="506" t="str">
        <f t="shared" si="16"/>
        <v/>
      </c>
      <c r="AL119" s="506" t="str">
        <f t="shared" si="17"/>
        <v/>
      </c>
      <c r="AM119" s="539" t="str">
        <f>IFERROR(IF(F119="","",IF(AH119="Check Data ⚠","Check Data ⚠",VLOOKUP(AL119, 'G-3 Multipliers'!$P$2:$Q$6,2,FALSE))),"")</f>
        <v/>
      </c>
      <c r="AN119" s="512" t="str">
        <f t="shared" si="11"/>
        <v/>
      </c>
      <c r="AO119" s="238"/>
      <c r="AP119" s="239"/>
    </row>
    <row r="120" spans="1:42" x14ac:dyDescent="0.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c r="R120" s="237"/>
      <c r="S120" s="391" t="str">
        <f>IFERROR(INDEX('G-1 All Habitats'!$B$3:$B$129,MATCH(R120,'G-1 All Habitats'!$A$3:$A$129,0)),"")</f>
        <v/>
      </c>
      <c r="T120" s="497" t="str">
        <f t="shared" si="12"/>
        <v/>
      </c>
      <c r="U120" s="498" t="str">
        <f t="shared" si="13"/>
        <v/>
      </c>
      <c r="V120" s="536" t="str">
        <f t="shared" si="9"/>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0"/>
        <v/>
      </c>
      <c r="AE120" s="82"/>
      <c r="AF120" s="82"/>
      <c r="AG120" s="506" t="str">
        <f t="shared" si="14"/>
        <v/>
      </c>
      <c r="AH120" s="520" t="str">
        <f t="shared" si="15"/>
        <v/>
      </c>
      <c r="AI120" s="521" t="str">
        <f>IF(AH120="Check Data","Check Data",IFERROR(VLOOKUP(AH120,'G-4 Temporal multipliers'!$A$4:$C$36,3,FALSE),""))</f>
        <v/>
      </c>
      <c r="AJ120" s="497" t="str">
        <f>IF(S120="","",VLOOKUP(S120,'G-3 Multipliers'!$A$2:$E$129,4,FALSE))</f>
        <v/>
      </c>
      <c r="AK120" s="506" t="str">
        <f t="shared" si="16"/>
        <v/>
      </c>
      <c r="AL120" s="506" t="str">
        <f t="shared" si="17"/>
        <v/>
      </c>
      <c r="AM120" s="539" t="str">
        <f>IFERROR(IF(F120="","",IF(AH120="Check Data ⚠","Check Data ⚠",VLOOKUP(AL120, 'G-3 Multipliers'!$P$2:$Q$6,2,FALSE))),"")</f>
        <v/>
      </c>
      <c r="AN120" s="512" t="str">
        <f t="shared" si="11"/>
        <v/>
      </c>
      <c r="AO120" s="238"/>
      <c r="AP120" s="239"/>
    </row>
    <row r="121" spans="1:42" x14ac:dyDescent="0.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c r="R121" s="237"/>
      <c r="S121" s="391" t="str">
        <f>IFERROR(INDEX('G-1 All Habitats'!$B$3:$B$129,MATCH(R121,'G-1 All Habitats'!$A$3:$A$129,0)),"")</f>
        <v/>
      </c>
      <c r="T121" s="497" t="str">
        <f t="shared" si="12"/>
        <v/>
      </c>
      <c r="U121" s="498" t="str">
        <f t="shared" si="13"/>
        <v/>
      </c>
      <c r="V121" s="536" t="str">
        <f t="shared" si="9"/>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0"/>
        <v/>
      </c>
      <c r="AE121" s="82"/>
      <c r="AF121" s="82"/>
      <c r="AG121" s="506" t="str">
        <f t="shared" si="14"/>
        <v/>
      </c>
      <c r="AH121" s="520" t="str">
        <f t="shared" si="15"/>
        <v/>
      </c>
      <c r="AI121" s="521" t="str">
        <f>IF(AH121="Check Data","Check Data",IFERROR(VLOOKUP(AH121,'G-4 Temporal multipliers'!$A$4:$C$36,3,FALSE),""))</f>
        <v/>
      </c>
      <c r="AJ121" s="497" t="str">
        <f>IF(S121="","",VLOOKUP(S121,'G-3 Multipliers'!$A$2:$E$129,4,FALSE))</f>
        <v/>
      </c>
      <c r="AK121" s="506" t="str">
        <f t="shared" si="16"/>
        <v/>
      </c>
      <c r="AL121" s="506" t="str">
        <f t="shared" si="17"/>
        <v/>
      </c>
      <c r="AM121" s="539" t="str">
        <f>IFERROR(IF(F121="","",IF(AH121="Check Data ⚠","Check Data ⚠",VLOOKUP(AL121, 'G-3 Multipliers'!$P$2:$Q$6,2,FALSE))),"")</f>
        <v/>
      </c>
      <c r="AN121" s="512" t="str">
        <f t="shared" si="11"/>
        <v/>
      </c>
      <c r="AO121" s="238"/>
      <c r="AP121" s="239"/>
    </row>
    <row r="122" spans="1:42" x14ac:dyDescent="0.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c r="R122" s="237"/>
      <c r="S122" s="391" t="str">
        <f>IFERROR(INDEX('G-1 All Habitats'!$B$3:$B$129,MATCH(R122,'G-1 All Habitats'!$A$3:$A$129,0)),"")</f>
        <v/>
      </c>
      <c r="T122" s="497" t="str">
        <f t="shared" si="12"/>
        <v/>
      </c>
      <c r="U122" s="498" t="str">
        <f t="shared" si="13"/>
        <v/>
      </c>
      <c r="V122" s="536" t="str">
        <f t="shared" si="9"/>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0"/>
        <v/>
      </c>
      <c r="AE122" s="82"/>
      <c r="AF122" s="82"/>
      <c r="AG122" s="506" t="str">
        <f t="shared" si="14"/>
        <v/>
      </c>
      <c r="AH122" s="520" t="str">
        <f t="shared" si="15"/>
        <v/>
      </c>
      <c r="AI122" s="521" t="str">
        <f>IF(AH122="Check Data","Check Data",IFERROR(VLOOKUP(AH122,'G-4 Temporal multipliers'!$A$4:$C$36,3,FALSE),""))</f>
        <v/>
      </c>
      <c r="AJ122" s="497" t="str">
        <f>IF(S122="","",VLOOKUP(S122,'G-3 Multipliers'!$A$2:$E$129,4,FALSE))</f>
        <v/>
      </c>
      <c r="AK122" s="506" t="str">
        <f t="shared" si="16"/>
        <v/>
      </c>
      <c r="AL122" s="506" t="str">
        <f t="shared" si="17"/>
        <v/>
      </c>
      <c r="AM122" s="539" t="str">
        <f>IFERROR(IF(F122="","",IF(AH122="Check Data ⚠","Check Data ⚠",VLOOKUP(AL122, 'G-3 Multipliers'!$P$2:$Q$6,2,FALSE))),"")</f>
        <v/>
      </c>
      <c r="AN122" s="512" t="str">
        <f t="shared" si="11"/>
        <v/>
      </c>
      <c r="AO122" s="238"/>
      <c r="AP122" s="239"/>
    </row>
    <row r="123" spans="1:42" x14ac:dyDescent="0.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c r="R123" s="237"/>
      <c r="S123" s="391" t="str">
        <f>IFERROR(INDEX('G-1 All Habitats'!$B$3:$B$129,MATCH(R123,'G-1 All Habitats'!$A$3:$A$129,0)),"")</f>
        <v/>
      </c>
      <c r="T123" s="497" t="str">
        <f t="shared" si="12"/>
        <v/>
      </c>
      <c r="U123" s="498" t="str">
        <f t="shared" si="13"/>
        <v/>
      </c>
      <c r="V123" s="536" t="str">
        <f t="shared" si="9"/>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0"/>
        <v/>
      </c>
      <c r="AE123" s="82"/>
      <c r="AF123" s="82"/>
      <c r="AG123" s="506" t="str">
        <f t="shared" si="14"/>
        <v/>
      </c>
      <c r="AH123" s="520" t="str">
        <f t="shared" si="15"/>
        <v/>
      </c>
      <c r="AI123" s="521" t="str">
        <f>IF(AH123="Check Data","Check Data",IFERROR(VLOOKUP(AH123,'G-4 Temporal multipliers'!$A$4:$C$36,3,FALSE),""))</f>
        <v/>
      </c>
      <c r="AJ123" s="497" t="str">
        <f>IF(S123="","",VLOOKUP(S123,'G-3 Multipliers'!$A$2:$E$129,4,FALSE))</f>
        <v/>
      </c>
      <c r="AK123" s="506" t="str">
        <f t="shared" si="16"/>
        <v/>
      </c>
      <c r="AL123" s="506" t="str">
        <f t="shared" si="17"/>
        <v/>
      </c>
      <c r="AM123" s="539" t="str">
        <f>IFERROR(IF(F123="","",IF(AH123="Check Data ⚠","Check Data ⚠",VLOOKUP(AL123, 'G-3 Multipliers'!$P$2:$Q$6,2,FALSE))),"")</f>
        <v/>
      </c>
      <c r="AN123" s="512" t="str">
        <f t="shared" si="11"/>
        <v/>
      </c>
      <c r="AO123" s="238"/>
      <c r="AP123" s="239"/>
    </row>
    <row r="124" spans="1:42" x14ac:dyDescent="0.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c r="R124" s="237"/>
      <c r="S124" s="391" t="str">
        <f>IFERROR(INDEX('G-1 All Habitats'!$B$3:$B$129,MATCH(R124,'G-1 All Habitats'!$A$3:$A$129,0)),"")</f>
        <v/>
      </c>
      <c r="T124" s="497" t="str">
        <f t="shared" si="12"/>
        <v/>
      </c>
      <c r="U124" s="498" t="str">
        <f t="shared" si="13"/>
        <v/>
      </c>
      <c r="V124" s="536" t="str">
        <f t="shared" si="9"/>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0"/>
        <v/>
      </c>
      <c r="AE124" s="82"/>
      <c r="AF124" s="82"/>
      <c r="AG124" s="506" t="str">
        <f t="shared" si="14"/>
        <v/>
      </c>
      <c r="AH124" s="520" t="str">
        <f t="shared" si="15"/>
        <v/>
      </c>
      <c r="AI124" s="521" t="str">
        <f>IF(AH124="Check Data","Check Data",IFERROR(VLOOKUP(AH124,'G-4 Temporal multipliers'!$A$4:$C$36,3,FALSE),""))</f>
        <v/>
      </c>
      <c r="AJ124" s="497" t="str">
        <f>IF(S124="","",VLOOKUP(S124,'G-3 Multipliers'!$A$2:$E$129,4,FALSE))</f>
        <v/>
      </c>
      <c r="AK124" s="506" t="str">
        <f t="shared" si="16"/>
        <v/>
      </c>
      <c r="AL124" s="506" t="str">
        <f t="shared" si="17"/>
        <v/>
      </c>
      <c r="AM124" s="539" t="str">
        <f>IFERROR(IF(F124="","",IF(AH124="Check Data ⚠","Check Data ⚠",VLOOKUP(AL124, 'G-3 Multipliers'!$P$2:$Q$6,2,FALSE))),"")</f>
        <v/>
      </c>
      <c r="AN124" s="512" t="str">
        <f t="shared" si="11"/>
        <v/>
      </c>
      <c r="AO124" s="238"/>
      <c r="AP124" s="239"/>
    </row>
    <row r="125" spans="1:42" x14ac:dyDescent="0.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c r="R125" s="237"/>
      <c r="S125" s="391" t="str">
        <f>IFERROR(INDEX('G-1 All Habitats'!$B$3:$B$129,MATCH(R125,'G-1 All Habitats'!$A$3:$A$129,0)),"")</f>
        <v/>
      </c>
      <c r="T125" s="497" t="str">
        <f t="shared" si="12"/>
        <v/>
      </c>
      <c r="U125" s="498" t="str">
        <f t="shared" si="13"/>
        <v/>
      </c>
      <c r="V125" s="536" t="str">
        <f t="shared" si="9"/>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0"/>
        <v/>
      </c>
      <c r="AE125" s="82"/>
      <c r="AF125" s="82"/>
      <c r="AG125" s="506" t="str">
        <f t="shared" si="14"/>
        <v/>
      </c>
      <c r="AH125" s="520" t="str">
        <f t="shared" si="15"/>
        <v/>
      </c>
      <c r="AI125" s="521" t="str">
        <f>IF(AH125="Check Data","Check Data",IFERROR(VLOOKUP(AH125,'G-4 Temporal multipliers'!$A$4:$C$36,3,FALSE),""))</f>
        <v/>
      </c>
      <c r="AJ125" s="497" t="str">
        <f>IF(S125="","",VLOOKUP(S125,'G-3 Multipliers'!$A$2:$E$129,4,FALSE))</f>
        <v/>
      </c>
      <c r="AK125" s="506" t="str">
        <f t="shared" si="16"/>
        <v/>
      </c>
      <c r="AL125" s="506" t="str">
        <f t="shared" si="17"/>
        <v/>
      </c>
      <c r="AM125" s="539" t="str">
        <f>IFERROR(IF(F125="","",IF(AH125="Check Data ⚠","Check Data ⚠",VLOOKUP(AL125, 'G-3 Multipliers'!$P$2:$Q$6,2,FALSE))),"")</f>
        <v/>
      </c>
      <c r="AN125" s="512" t="str">
        <f t="shared" si="11"/>
        <v/>
      </c>
      <c r="AO125" s="238"/>
      <c r="AP125" s="239"/>
    </row>
    <row r="126" spans="1:42" x14ac:dyDescent="0.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c r="R126" s="237"/>
      <c r="S126" s="391" t="str">
        <f>IFERROR(INDEX('G-1 All Habitats'!$B$3:$B$129,MATCH(R126,'G-1 All Habitats'!$A$3:$A$129,0)),"")</f>
        <v/>
      </c>
      <c r="T126" s="497" t="str">
        <f t="shared" si="12"/>
        <v/>
      </c>
      <c r="U126" s="498" t="str">
        <f t="shared" si="13"/>
        <v/>
      </c>
      <c r="V126" s="536" t="str">
        <f t="shared" si="9"/>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0"/>
        <v/>
      </c>
      <c r="AE126" s="82"/>
      <c r="AF126" s="82"/>
      <c r="AG126" s="506" t="str">
        <f t="shared" si="14"/>
        <v/>
      </c>
      <c r="AH126" s="520" t="str">
        <f t="shared" si="15"/>
        <v/>
      </c>
      <c r="AI126" s="521" t="str">
        <f>IF(AH126="Check Data","Check Data",IFERROR(VLOOKUP(AH126,'G-4 Temporal multipliers'!$A$4:$C$36,3,FALSE),""))</f>
        <v/>
      </c>
      <c r="AJ126" s="497" t="str">
        <f>IF(S126="","",VLOOKUP(S126,'G-3 Multipliers'!$A$2:$E$129,4,FALSE))</f>
        <v/>
      </c>
      <c r="AK126" s="506" t="str">
        <f t="shared" si="16"/>
        <v/>
      </c>
      <c r="AL126" s="506" t="str">
        <f t="shared" si="17"/>
        <v/>
      </c>
      <c r="AM126" s="539" t="str">
        <f>IFERROR(IF(F126="","",IF(AH126="Check Data ⚠","Check Data ⚠",VLOOKUP(AL126, 'G-3 Multipliers'!$P$2:$Q$6,2,FALSE))),"")</f>
        <v/>
      </c>
      <c r="AN126" s="512" t="str">
        <f t="shared" si="11"/>
        <v/>
      </c>
      <c r="AO126" s="238"/>
      <c r="AP126" s="239"/>
    </row>
    <row r="127" spans="1:42" x14ac:dyDescent="0.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c r="R127" s="237"/>
      <c r="S127" s="391" t="str">
        <f>IFERROR(INDEX('G-1 All Habitats'!$B$3:$B$129,MATCH(R127,'G-1 All Habitats'!$A$3:$A$129,0)),"")</f>
        <v/>
      </c>
      <c r="T127" s="497" t="str">
        <f t="shared" si="12"/>
        <v/>
      </c>
      <c r="U127" s="498" t="str">
        <f t="shared" si="13"/>
        <v/>
      </c>
      <c r="V127" s="536" t="str">
        <f t="shared" si="9"/>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0"/>
        <v/>
      </c>
      <c r="AE127" s="82"/>
      <c r="AF127" s="82"/>
      <c r="AG127" s="506" t="str">
        <f t="shared" si="14"/>
        <v/>
      </c>
      <c r="AH127" s="520" t="str">
        <f t="shared" si="15"/>
        <v/>
      </c>
      <c r="AI127" s="521" t="str">
        <f>IF(AH127="Check Data","Check Data",IFERROR(VLOOKUP(AH127,'G-4 Temporal multipliers'!$A$4:$C$36,3,FALSE),""))</f>
        <v/>
      </c>
      <c r="AJ127" s="497" t="str">
        <f>IF(S127="","",VLOOKUP(S127,'G-3 Multipliers'!$A$2:$E$129,4,FALSE))</f>
        <v/>
      </c>
      <c r="AK127" s="506" t="str">
        <f t="shared" si="16"/>
        <v/>
      </c>
      <c r="AL127" s="506" t="str">
        <f t="shared" si="17"/>
        <v/>
      </c>
      <c r="AM127" s="539" t="str">
        <f>IFERROR(IF(F127="","",IF(AH127="Check Data ⚠","Check Data ⚠",VLOOKUP(AL127, 'G-3 Multipliers'!$P$2:$Q$6,2,FALSE))),"")</f>
        <v/>
      </c>
      <c r="AN127" s="512" t="str">
        <f t="shared" si="11"/>
        <v/>
      </c>
      <c r="AO127" s="238"/>
      <c r="AP127" s="239"/>
    </row>
    <row r="128" spans="1:42" x14ac:dyDescent="0.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c r="R128" s="237"/>
      <c r="S128" s="391" t="str">
        <f>IFERROR(INDEX('G-1 All Habitats'!$B$3:$B$129,MATCH(R128,'G-1 All Habitats'!$A$3:$A$129,0)),"")</f>
        <v/>
      </c>
      <c r="T128" s="497" t="str">
        <f t="shared" si="12"/>
        <v/>
      </c>
      <c r="U128" s="498" t="str">
        <f t="shared" si="13"/>
        <v/>
      </c>
      <c r="V128" s="536" t="str">
        <f t="shared" si="9"/>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0"/>
        <v/>
      </c>
      <c r="AE128" s="82"/>
      <c r="AF128" s="82"/>
      <c r="AG128" s="506" t="str">
        <f t="shared" si="14"/>
        <v/>
      </c>
      <c r="AH128" s="520" t="str">
        <f t="shared" si="15"/>
        <v/>
      </c>
      <c r="AI128" s="521" t="str">
        <f>IF(AH128="Check Data","Check Data",IFERROR(VLOOKUP(AH128,'G-4 Temporal multipliers'!$A$4:$C$36,3,FALSE),""))</f>
        <v/>
      </c>
      <c r="AJ128" s="497" t="str">
        <f>IF(S128="","",VLOOKUP(S128,'G-3 Multipliers'!$A$2:$E$129,4,FALSE))</f>
        <v/>
      </c>
      <c r="AK128" s="506" t="str">
        <f t="shared" si="16"/>
        <v/>
      </c>
      <c r="AL128" s="506" t="str">
        <f t="shared" si="17"/>
        <v/>
      </c>
      <c r="AM128" s="539" t="str">
        <f>IFERROR(IF(F128="","",IF(AH128="Check Data ⚠","Check Data ⚠",VLOOKUP(AL128, 'G-3 Multipliers'!$P$2:$Q$6,2,FALSE))),"")</f>
        <v/>
      </c>
      <c r="AN128" s="512" t="str">
        <f t="shared" si="11"/>
        <v/>
      </c>
      <c r="AO128" s="238"/>
      <c r="AP128" s="239"/>
    </row>
    <row r="129" spans="1:42" x14ac:dyDescent="0.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c r="R129" s="237"/>
      <c r="S129" s="391" t="str">
        <f>IFERROR(INDEX('G-1 All Habitats'!$B$3:$B$129,MATCH(R129,'G-1 All Habitats'!$A$3:$A$129,0)),"")</f>
        <v/>
      </c>
      <c r="T129" s="497" t="str">
        <f t="shared" si="12"/>
        <v/>
      </c>
      <c r="U129" s="498" t="str">
        <f t="shared" si="13"/>
        <v/>
      </c>
      <c r="V129" s="536" t="str">
        <f t="shared" si="9"/>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0"/>
        <v/>
      </c>
      <c r="AE129" s="82"/>
      <c r="AF129" s="82"/>
      <c r="AG129" s="506" t="str">
        <f t="shared" si="14"/>
        <v/>
      </c>
      <c r="AH129" s="520" t="str">
        <f t="shared" si="15"/>
        <v/>
      </c>
      <c r="AI129" s="521" t="str">
        <f>IF(AH129="Check Data","Check Data",IFERROR(VLOOKUP(AH129,'G-4 Temporal multipliers'!$A$4:$C$36,3,FALSE),""))</f>
        <v/>
      </c>
      <c r="AJ129" s="497" t="str">
        <f>IF(S129="","",VLOOKUP(S129,'G-3 Multipliers'!$A$2:$E$129,4,FALSE))</f>
        <v/>
      </c>
      <c r="AK129" s="506" t="str">
        <f t="shared" si="16"/>
        <v/>
      </c>
      <c r="AL129" s="506" t="str">
        <f t="shared" si="17"/>
        <v/>
      </c>
      <c r="AM129" s="539" t="str">
        <f>IFERROR(IF(F129="","",IF(AH129="Check Data ⚠","Check Data ⚠",VLOOKUP(AL129, 'G-3 Multipliers'!$P$2:$Q$6,2,FALSE))),"")</f>
        <v/>
      </c>
      <c r="AN129" s="512" t="str">
        <f t="shared" si="11"/>
        <v/>
      </c>
      <c r="AO129" s="238"/>
      <c r="AP129" s="239"/>
    </row>
    <row r="130" spans="1:42" x14ac:dyDescent="0.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c r="R130" s="237"/>
      <c r="S130" s="391" t="str">
        <f>IFERROR(INDEX('G-1 All Habitats'!$B$3:$B$129,MATCH(R130,'G-1 All Habitats'!$A$3:$A$129,0)),"")</f>
        <v/>
      </c>
      <c r="T130" s="497" t="str">
        <f t="shared" si="12"/>
        <v/>
      </c>
      <c r="U130" s="498" t="str">
        <f t="shared" si="13"/>
        <v/>
      </c>
      <c r="V130" s="536" t="str">
        <f t="shared" si="9"/>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0"/>
        <v/>
      </c>
      <c r="AE130" s="82"/>
      <c r="AF130" s="82"/>
      <c r="AG130" s="506" t="str">
        <f t="shared" si="14"/>
        <v/>
      </c>
      <c r="AH130" s="520" t="str">
        <f t="shared" si="15"/>
        <v/>
      </c>
      <c r="AI130" s="521" t="str">
        <f>IF(AH130="Check Data","Check Data",IFERROR(VLOOKUP(AH130,'G-4 Temporal multipliers'!$A$4:$C$36,3,FALSE),""))</f>
        <v/>
      </c>
      <c r="AJ130" s="497" t="str">
        <f>IF(S130="","",VLOOKUP(S130,'G-3 Multipliers'!$A$2:$E$129,4,FALSE))</f>
        <v/>
      </c>
      <c r="AK130" s="506" t="str">
        <f t="shared" si="16"/>
        <v/>
      </c>
      <c r="AL130" s="506" t="str">
        <f t="shared" si="17"/>
        <v/>
      </c>
      <c r="AM130" s="539" t="str">
        <f>IFERROR(IF(F130="","",IF(AH130="Check Data ⚠","Check Data ⚠",VLOOKUP(AL130, 'G-3 Multipliers'!$P$2:$Q$6,2,FALSE))),"")</f>
        <v/>
      </c>
      <c r="AN130" s="512" t="str">
        <f t="shared" si="11"/>
        <v/>
      </c>
      <c r="AO130" s="238"/>
      <c r="AP130" s="239"/>
    </row>
    <row r="131" spans="1:42" x14ac:dyDescent="0.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c r="R131" s="237"/>
      <c r="S131" s="391" t="str">
        <f>IFERROR(INDEX('G-1 All Habitats'!$B$3:$B$129,MATCH(R131,'G-1 All Habitats'!$A$3:$A$129,0)),"")</f>
        <v/>
      </c>
      <c r="T131" s="497" t="str">
        <f t="shared" si="12"/>
        <v/>
      </c>
      <c r="U131" s="498" t="str">
        <f t="shared" si="13"/>
        <v/>
      </c>
      <c r="V131" s="536" t="str">
        <f t="shared" si="9"/>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0"/>
        <v/>
      </c>
      <c r="AE131" s="82"/>
      <c r="AF131" s="82"/>
      <c r="AG131" s="506" t="str">
        <f t="shared" si="14"/>
        <v/>
      </c>
      <c r="AH131" s="520" t="str">
        <f t="shared" si="15"/>
        <v/>
      </c>
      <c r="AI131" s="521" t="str">
        <f>IF(AH131="Check Data","Check Data",IFERROR(VLOOKUP(AH131,'G-4 Temporal multipliers'!$A$4:$C$36,3,FALSE),""))</f>
        <v/>
      </c>
      <c r="AJ131" s="497" t="str">
        <f>IF(S131="","",VLOOKUP(S131,'G-3 Multipliers'!$A$2:$E$129,4,FALSE))</f>
        <v/>
      </c>
      <c r="AK131" s="506" t="str">
        <f t="shared" si="16"/>
        <v/>
      </c>
      <c r="AL131" s="506" t="str">
        <f t="shared" si="17"/>
        <v/>
      </c>
      <c r="AM131" s="539" t="str">
        <f>IFERROR(IF(F131="","",IF(AH131="Check Data ⚠","Check Data ⚠",VLOOKUP(AL131, 'G-3 Multipliers'!$P$2:$Q$6,2,FALSE))),"")</f>
        <v/>
      </c>
      <c r="AN131" s="512" t="str">
        <f t="shared" si="11"/>
        <v/>
      </c>
      <c r="AO131" s="238"/>
      <c r="AP131" s="239"/>
    </row>
    <row r="132" spans="1:42" x14ac:dyDescent="0.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c r="R132" s="237"/>
      <c r="S132" s="391" t="str">
        <f>IFERROR(INDEX('G-1 All Habitats'!$B$3:$B$129,MATCH(R132,'G-1 All Habitats'!$A$3:$A$129,0)),"")</f>
        <v/>
      </c>
      <c r="T132" s="497" t="str">
        <f t="shared" si="12"/>
        <v/>
      </c>
      <c r="U132" s="498" t="str">
        <f t="shared" si="13"/>
        <v/>
      </c>
      <c r="V132" s="536" t="str">
        <f t="shared" si="9"/>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0"/>
        <v/>
      </c>
      <c r="AE132" s="82"/>
      <c r="AF132" s="82"/>
      <c r="AG132" s="506" t="str">
        <f t="shared" si="14"/>
        <v/>
      </c>
      <c r="AH132" s="520" t="str">
        <f t="shared" si="15"/>
        <v/>
      </c>
      <c r="AI132" s="521" t="str">
        <f>IF(AH132="Check Data","Check Data",IFERROR(VLOOKUP(AH132,'G-4 Temporal multipliers'!$A$4:$C$36,3,FALSE),""))</f>
        <v/>
      </c>
      <c r="AJ132" s="497" t="str">
        <f>IF(S132="","",VLOOKUP(S132,'G-3 Multipliers'!$A$2:$E$129,4,FALSE))</f>
        <v/>
      </c>
      <c r="AK132" s="506" t="str">
        <f t="shared" si="16"/>
        <v/>
      </c>
      <c r="AL132" s="506" t="str">
        <f t="shared" si="17"/>
        <v/>
      </c>
      <c r="AM132" s="539" t="str">
        <f>IFERROR(IF(F132="","",IF(AH132="Check Data ⚠","Check Data ⚠",VLOOKUP(AL132, 'G-3 Multipliers'!$P$2:$Q$6,2,FALSE))),"")</f>
        <v/>
      </c>
      <c r="AN132" s="512" t="str">
        <f t="shared" si="11"/>
        <v/>
      </c>
      <c r="AO132" s="238"/>
      <c r="AP132" s="239"/>
    </row>
    <row r="133" spans="1:42" x14ac:dyDescent="0.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c r="R133" s="237"/>
      <c r="S133" s="391" t="str">
        <f>IFERROR(INDEX('G-1 All Habitats'!$B$3:$B$129,MATCH(R133,'G-1 All Habitats'!$A$3:$A$129,0)),"")</f>
        <v/>
      </c>
      <c r="T133" s="497" t="str">
        <f t="shared" si="12"/>
        <v/>
      </c>
      <c r="U133" s="498" t="str">
        <f t="shared" si="13"/>
        <v/>
      </c>
      <c r="V133" s="536" t="str">
        <f t="shared" si="9"/>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0"/>
        <v/>
      </c>
      <c r="AE133" s="82"/>
      <c r="AF133" s="82"/>
      <c r="AG133" s="506" t="str">
        <f t="shared" si="14"/>
        <v/>
      </c>
      <c r="AH133" s="520" t="str">
        <f t="shared" si="15"/>
        <v/>
      </c>
      <c r="AI133" s="521" t="str">
        <f>IF(AH133="Check Data","Check Data",IFERROR(VLOOKUP(AH133,'G-4 Temporal multipliers'!$A$4:$C$36,3,FALSE),""))</f>
        <v/>
      </c>
      <c r="AJ133" s="497" t="str">
        <f>IF(S133="","",VLOOKUP(S133,'G-3 Multipliers'!$A$2:$E$129,4,FALSE))</f>
        <v/>
      </c>
      <c r="AK133" s="506" t="str">
        <f t="shared" si="16"/>
        <v/>
      </c>
      <c r="AL133" s="506" t="str">
        <f t="shared" si="17"/>
        <v/>
      </c>
      <c r="AM133" s="539" t="str">
        <f>IFERROR(IF(F133="","",IF(AH133="Check Data ⚠","Check Data ⚠",VLOOKUP(AL133, 'G-3 Multipliers'!$P$2:$Q$6,2,FALSE))),"")</f>
        <v/>
      </c>
      <c r="AN133" s="512" t="str">
        <f t="shared" si="11"/>
        <v/>
      </c>
      <c r="AO133" s="238"/>
      <c r="AP133" s="239"/>
    </row>
    <row r="134" spans="1:42" x14ac:dyDescent="0.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c r="R134" s="237"/>
      <c r="S134" s="391" t="str">
        <f>IFERROR(INDEX('G-1 All Habitats'!$B$3:$B$129,MATCH(R134,'G-1 All Habitats'!$A$3:$A$129,0)),"")</f>
        <v/>
      </c>
      <c r="T134" s="497" t="str">
        <f t="shared" si="12"/>
        <v/>
      </c>
      <c r="U134" s="498" t="str">
        <f t="shared" si="13"/>
        <v/>
      </c>
      <c r="V134" s="536" t="str">
        <f t="shared" si="9"/>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0"/>
        <v/>
      </c>
      <c r="AE134" s="82"/>
      <c r="AF134" s="82"/>
      <c r="AG134" s="506" t="str">
        <f t="shared" si="14"/>
        <v/>
      </c>
      <c r="AH134" s="520" t="str">
        <f t="shared" si="15"/>
        <v/>
      </c>
      <c r="AI134" s="521" t="str">
        <f>IF(AH134="Check Data","Check Data",IFERROR(VLOOKUP(AH134,'G-4 Temporal multipliers'!$A$4:$C$36,3,FALSE),""))</f>
        <v/>
      </c>
      <c r="AJ134" s="497" t="str">
        <f>IF(S134="","",VLOOKUP(S134,'G-3 Multipliers'!$A$2:$E$129,4,FALSE))</f>
        <v/>
      </c>
      <c r="AK134" s="506" t="str">
        <f t="shared" si="16"/>
        <v/>
      </c>
      <c r="AL134" s="506" t="str">
        <f t="shared" si="17"/>
        <v/>
      </c>
      <c r="AM134" s="539" t="str">
        <f>IFERROR(IF(F134="","",IF(AH134="Check Data ⚠","Check Data ⚠",VLOOKUP(AL134, 'G-3 Multipliers'!$P$2:$Q$6,2,FALSE))),"")</f>
        <v/>
      </c>
      <c r="AN134" s="512" t="str">
        <f t="shared" si="11"/>
        <v/>
      </c>
      <c r="AO134" s="238"/>
      <c r="AP134" s="239"/>
    </row>
    <row r="135" spans="1:42" x14ac:dyDescent="0.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c r="R135" s="237"/>
      <c r="S135" s="391" t="str">
        <f>IFERROR(INDEX('G-1 All Habitats'!$B$3:$B$129,MATCH(R135,'G-1 All Habitats'!$A$3:$A$129,0)),"")</f>
        <v/>
      </c>
      <c r="T135" s="497" t="str">
        <f t="shared" si="12"/>
        <v/>
      </c>
      <c r="U135" s="498" t="str">
        <f t="shared" si="13"/>
        <v/>
      </c>
      <c r="V135" s="536" t="str">
        <f t="shared" si="9"/>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0"/>
        <v/>
      </c>
      <c r="AE135" s="82"/>
      <c r="AF135" s="82"/>
      <c r="AG135" s="506" t="str">
        <f t="shared" si="14"/>
        <v/>
      </c>
      <c r="AH135" s="520" t="str">
        <f t="shared" si="15"/>
        <v/>
      </c>
      <c r="AI135" s="521" t="str">
        <f>IF(AH135="Check Data","Check Data",IFERROR(VLOOKUP(AH135,'G-4 Temporal multipliers'!$A$4:$C$36,3,FALSE),""))</f>
        <v/>
      </c>
      <c r="AJ135" s="497" t="str">
        <f>IF(S135="","",VLOOKUP(S135,'G-3 Multipliers'!$A$2:$E$129,4,FALSE))</f>
        <v/>
      </c>
      <c r="AK135" s="506" t="str">
        <f t="shared" si="16"/>
        <v/>
      </c>
      <c r="AL135" s="506" t="str">
        <f t="shared" si="17"/>
        <v/>
      </c>
      <c r="AM135" s="539" t="str">
        <f>IFERROR(IF(F135="","",IF(AH135="Check Data ⚠","Check Data ⚠",VLOOKUP(AL135, 'G-3 Multipliers'!$P$2:$Q$6,2,FALSE))),"")</f>
        <v/>
      </c>
      <c r="AN135" s="512" t="str">
        <f t="shared" si="11"/>
        <v/>
      </c>
      <c r="AO135" s="238"/>
      <c r="AP135" s="239"/>
    </row>
    <row r="136" spans="1:42" x14ac:dyDescent="0.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c r="R136" s="237"/>
      <c r="S136" s="391" t="str">
        <f>IFERROR(INDEX('G-1 All Habitats'!$B$3:$B$129,MATCH(R136,'G-1 All Habitats'!$A$3:$A$129,0)),"")</f>
        <v/>
      </c>
      <c r="T136" s="497" t="str">
        <f t="shared" si="12"/>
        <v/>
      </c>
      <c r="U136" s="498" t="str">
        <f t="shared" si="13"/>
        <v/>
      </c>
      <c r="V136" s="536" t="str">
        <f t="shared" si="9"/>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0"/>
        <v/>
      </c>
      <c r="AE136" s="82"/>
      <c r="AF136" s="82"/>
      <c r="AG136" s="506" t="str">
        <f t="shared" si="14"/>
        <v/>
      </c>
      <c r="AH136" s="520" t="str">
        <f t="shared" si="15"/>
        <v/>
      </c>
      <c r="AI136" s="521" t="str">
        <f>IF(AH136="Check Data","Check Data",IFERROR(VLOOKUP(AH136,'G-4 Temporal multipliers'!$A$4:$C$36,3,FALSE),""))</f>
        <v/>
      </c>
      <c r="AJ136" s="497" t="str">
        <f>IF(S136="","",VLOOKUP(S136,'G-3 Multipliers'!$A$2:$E$129,4,FALSE))</f>
        <v/>
      </c>
      <c r="AK136" s="506" t="str">
        <f t="shared" si="16"/>
        <v/>
      </c>
      <c r="AL136" s="506" t="str">
        <f t="shared" si="17"/>
        <v/>
      </c>
      <c r="AM136" s="539" t="str">
        <f>IFERROR(IF(F136="","",IF(AH136="Check Data ⚠","Check Data ⚠",VLOOKUP(AL136, 'G-3 Multipliers'!$P$2:$Q$6,2,FALSE))),"")</f>
        <v/>
      </c>
      <c r="AN136" s="512" t="str">
        <f t="shared" si="11"/>
        <v/>
      </c>
      <c r="AO136" s="238"/>
      <c r="AP136" s="239"/>
    </row>
    <row r="137" spans="1:42" x14ac:dyDescent="0.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c r="R137" s="237"/>
      <c r="S137" s="391" t="str">
        <f>IFERROR(INDEX('G-1 All Habitats'!$B$3:$B$129,MATCH(R137,'G-1 All Habitats'!$A$3:$A$129,0)),"")</f>
        <v/>
      </c>
      <c r="T137" s="497" t="str">
        <f t="shared" si="12"/>
        <v/>
      </c>
      <c r="U137" s="498" t="str">
        <f t="shared" si="13"/>
        <v/>
      </c>
      <c r="V137" s="536" t="str">
        <f t="shared" si="9"/>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0"/>
        <v/>
      </c>
      <c r="AE137" s="82"/>
      <c r="AF137" s="82"/>
      <c r="AG137" s="506" t="str">
        <f t="shared" si="14"/>
        <v/>
      </c>
      <c r="AH137" s="520" t="str">
        <f t="shared" si="15"/>
        <v/>
      </c>
      <c r="AI137" s="521" t="str">
        <f>IF(AH137="Check Data","Check Data",IFERROR(VLOOKUP(AH137,'G-4 Temporal multipliers'!$A$4:$C$36,3,FALSE),""))</f>
        <v/>
      </c>
      <c r="AJ137" s="497" t="str">
        <f>IF(S137="","",VLOOKUP(S137,'G-3 Multipliers'!$A$2:$E$129,4,FALSE))</f>
        <v/>
      </c>
      <c r="AK137" s="506" t="str">
        <f t="shared" si="16"/>
        <v/>
      </c>
      <c r="AL137" s="506" t="str">
        <f t="shared" si="17"/>
        <v/>
      </c>
      <c r="AM137" s="539" t="str">
        <f>IFERROR(IF(F137="","",IF(AH137="Check Data ⚠","Check Data ⚠",VLOOKUP(AL137, 'G-3 Multipliers'!$P$2:$Q$6,2,FALSE))),"")</f>
        <v/>
      </c>
      <c r="AN137" s="512" t="str">
        <f t="shared" si="11"/>
        <v/>
      </c>
      <c r="AO137" s="238"/>
      <c r="AP137" s="239"/>
    </row>
    <row r="138" spans="1:42" x14ac:dyDescent="0.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c r="R138" s="237"/>
      <c r="S138" s="391" t="str">
        <f>IFERROR(INDEX('G-1 All Habitats'!$B$3:$B$129,MATCH(R138,'G-1 All Habitats'!$A$3:$A$129,0)),"")</f>
        <v/>
      </c>
      <c r="T138" s="497" t="str">
        <f t="shared" si="12"/>
        <v/>
      </c>
      <c r="U138" s="498" t="str">
        <f t="shared" si="13"/>
        <v/>
      </c>
      <c r="V138" s="536" t="str">
        <f t="shared" si="9"/>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0"/>
        <v/>
      </c>
      <c r="AE138" s="82"/>
      <c r="AF138" s="82"/>
      <c r="AG138" s="506" t="str">
        <f t="shared" si="14"/>
        <v/>
      </c>
      <c r="AH138" s="520" t="str">
        <f t="shared" si="15"/>
        <v/>
      </c>
      <c r="AI138" s="521" t="str">
        <f>IF(AH138="Check Data","Check Data",IFERROR(VLOOKUP(AH138,'G-4 Temporal multipliers'!$A$4:$C$36,3,FALSE),""))</f>
        <v/>
      </c>
      <c r="AJ138" s="497" t="str">
        <f>IF(S138="","",VLOOKUP(S138,'G-3 Multipliers'!$A$2:$E$129,4,FALSE))</f>
        <v/>
      </c>
      <c r="AK138" s="506" t="str">
        <f t="shared" si="16"/>
        <v/>
      </c>
      <c r="AL138" s="506" t="str">
        <f t="shared" si="17"/>
        <v/>
      </c>
      <c r="AM138" s="539" t="str">
        <f>IFERROR(IF(F138="","",IF(AH138="Check Data ⚠","Check Data ⚠",VLOOKUP(AL138, 'G-3 Multipliers'!$P$2:$Q$6,2,FALSE))),"")</f>
        <v/>
      </c>
      <c r="AN138" s="512" t="str">
        <f t="shared" si="11"/>
        <v/>
      </c>
      <c r="AO138" s="238"/>
      <c r="AP138" s="239"/>
    </row>
    <row r="139" spans="1:42" x14ac:dyDescent="0.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c r="R139" s="237"/>
      <c r="S139" s="391" t="str">
        <f>IFERROR(INDEX('G-1 All Habitats'!$B$3:$B$129,MATCH(R139,'G-1 All Habitats'!$A$3:$A$129,0)),"")</f>
        <v/>
      </c>
      <c r="T139" s="497" t="str">
        <f t="shared" si="12"/>
        <v/>
      </c>
      <c r="U139" s="498" t="str">
        <f t="shared" si="13"/>
        <v/>
      </c>
      <c r="V139" s="536" t="str">
        <f t="shared" si="9"/>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0"/>
        <v/>
      </c>
      <c r="AE139" s="82"/>
      <c r="AF139" s="82"/>
      <c r="AG139" s="506" t="str">
        <f t="shared" si="14"/>
        <v/>
      </c>
      <c r="AH139" s="520" t="str">
        <f t="shared" si="15"/>
        <v/>
      </c>
      <c r="AI139" s="521" t="str">
        <f>IF(AH139="Check Data","Check Data",IFERROR(VLOOKUP(AH139,'G-4 Temporal multipliers'!$A$4:$C$36,3,FALSE),""))</f>
        <v/>
      </c>
      <c r="AJ139" s="497" t="str">
        <f>IF(S139="","",VLOOKUP(S139,'G-3 Multipliers'!$A$2:$E$129,4,FALSE))</f>
        <v/>
      </c>
      <c r="AK139" s="506" t="str">
        <f t="shared" si="16"/>
        <v/>
      </c>
      <c r="AL139" s="506" t="str">
        <f t="shared" si="17"/>
        <v/>
      </c>
      <c r="AM139" s="539" t="str">
        <f>IFERROR(IF(F139="","",IF(AH139="Check Data ⚠","Check Data ⚠",VLOOKUP(AL139, 'G-3 Multipliers'!$P$2:$Q$6,2,FALSE))),"")</f>
        <v/>
      </c>
      <c r="AN139" s="512" t="str">
        <f t="shared" si="11"/>
        <v/>
      </c>
      <c r="AO139" s="238"/>
      <c r="AP139" s="239"/>
    </row>
    <row r="140" spans="1:42" x14ac:dyDescent="0.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c r="R140" s="237"/>
      <c r="S140" s="391" t="str">
        <f>IFERROR(INDEX('G-1 All Habitats'!$B$3:$B$129,MATCH(R140,'G-1 All Habitats'!$A$3:$A$129,0)),"")</f>
        <v/>
      </c>
      <c r="T140" s="497" t="str">
        <f t="shared" si="12"/>
        <v/>
      </c>
      <c r="U140" s="498" t="str">
        <f t="shared" si="13"/>
        <v/>
      </c>
      <c r="V140" s="536" t="str">
        <f t="shared" ref="V140:V203" si="18">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19">IFERROR(IF(OR(LEFT(U140,5)="Error ▲",LEFT(T140,5)="Error ▲"),"Check Data ⚠",INDEX(EnhanceTemporal,MATCH(S140,EnhanceHabitat,0),MATCH(U140,EnhanceCondition,0))),"")</f>
        <v/>
      </c>
      <c r="AE140" s="82"/>
      <c r="AF140" s="82"/>
      <c r="AG140" s="506" t="str">
        <f t="shared" si="14"/>
        <v/>
      </c>
      <c r="AH140" s="520" t="str">
        <f t="shared" si="15"/>
        <v/>
      </c>
      <c r="AI140" s="521" t="str">
        <f>IF(AH140="Check Data","Check Data",IFERROR(VLOOKUP(AH140,'G-4 Temporal multipliers'!$A$4:$C$36,3,FALSE),""))</f>
        <v/>
      </c>
      <c r="AJ140" s="497" t="str">
        <f>IF(S140="","",VLOOKUP(S140,'G-3 Multipliers'!$A$2:$E$129,4,FALSE))</f>
        <v/>
      </c>
      <c r="AK140" s="506" t="str">
        <f t="shared" si="16"/>
        <v/>
      </c>
      <c r="AL140" s="506" t="str">
        <f t="shared" si="17"/>
        <v/>
      </c>
      <c r="AM140" s="539" t="str">
        <f>IFERROR(IF(F140="","",IF(AH140="Check Data ⚠","Check Data ⚠",VLOOKUP(AL140, 'G-3 Multipliers'!$P$2:$Q$6,2,FALSE))),"")</f>
        <v/>
      </c>
      <c r="AN140" s="512" t="str">
        <f t="shared" ref="AN140:AN203" si="20">IFERROR(((((V140*X140*Z140)-(V140*I140*K140))*(AM140*AI140))+(V140*I140*K140))*(AC140),"")</f>
        <v/>
      </c>
      <c r="AO140" s="238"/>
      <c r="AP140" s="239"/>
    </row>
    <row r="141" spans="1:42" x14ac:dyDescent="0.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c r="R141" s="237"/>
      <c r="S141" s="391" t="str">
        <f>IFERROR(INDEX('G-1 All Habitats'!$B$3:$B$129,MATCH(R141,'G-1 All Habitats'!$A$3:$A$129,0)),"")</f>
        <v/>
      </c>
      <c r="T141" s="497" t="str">
        <f t="shared" ref="T141:T204" si="21">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2">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18"/>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19"/>
        <v/>
      </c>
      <c r="AE141" s="82"/>
      <c r="AF141" s="82"/>
      <c r="AG141" s="506" t="str">
        <f t="shared" ref="AG141:AG204" si="23">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24">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25">IF(E141="","",IF(AG141="Check details - Is there evidence that habitat has reached target condition? ⚠","Low Difficulty - only applicable if all habitat created before losses ⚠","Standard difficulty applied"))</f>
        <v/>
      </c>
      <c r="AL141" s="506" t="str">
        <f t="shared" ref="AL141:AL204" si="26">(IF(AND(AK141="Standard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0"/>
        <v/>
      </c>
      <c r="AO141" s="238"/>
      <c r="AP141" s="239"/>
    </row>
    <row r="142" spans="1:42" x14ac:dyDescent="0.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c r="R142" s="237"/>
      <c r="S142" s="391" t="str">
        <f>IFERROR(INDEX('G-1 All Habitats'!$B$3:$B$129,MATCH(R142,'G-1 All Habitats'!$A$3:$A$129,0)),"")</f>
        <v/>
      </c>
      <c r="T142" s="497" t="str">
        <f t="shared" si="21"/>
        <v/>
      </c>
      <c r="U142" s="498" t="str">
        <f t="shared" si="22"/>
        <v/>
      </c>
      <c r="V142" s="536" t="str">
        <f t="shared" si="18"/>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19"/>
        <v/>
      </c>
      <c r="AE142" s="82"/>
      <c r="AF142" s="82"/>
      <c r="AG142" s="506" t="str">
        <f t="shared" si="23"/>
        <v/>
      </c>
      <c r="AH142" s="520" t="str">
        <f t="shared" si="24"/>
        <v/>
      </c>
      <c r="AI142" s="521" t="str">
        <f>IF(AH142="Check Data","Check Data",IFERROR(VLOOKUP(AH142,'G-4 Temporal multipliers'!$A$4:$C$36,3,FALSE),""))</f>
        <v/>
      </c>
      <c r="AJ142" s="497" t="str">
        <f>IF(S142="","",VLOOKUP(S142,'G-3 Multipliers'!$A$2:$E$129,4,FALSE))</f>
        <v/>
      </c>
      <c r="AK142" s="506" t="str">
        <f t="shared" si="25"/>
        <v/>
      </c>
      <c r="AL142" s="506" t="str">
        <f t="shared" si="26"/>
        <v/>
      </c>
      <c r="AM142" s="539" t="str">
        <f>IFERROR(IF(F142="","",IF(AH142="Check Data ⚠","Check Data ⚠",VLOOKUP(AL142, 'G-3 Multipliers'!$P$2:$Q$6,2,FALSE))),"")</f>
        <v/>
      </c>
      <c r="AN142" s="512" t="str">
        <f t="shared" si="20"/>
        <v/>
      </c>
      <c r="AO142" s="238"/>
      <c r="AP142" s="239"/>
    </row>
    <row r="143" spans="1:42" x14ac:dyDescent="0.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c r="R143" s="237"/>
      <c r="S143" s="391" t="str">
        <f>IFERROR(INDEX('G-1 All Habitats'!$B$3:$B$129,MATCH(R143,'G-1 All Habitats'!$A$3:$A$129,0)),"")</f>
        <v/>
      </c>
      <c r="T143" s="497" t="str">
        <f t="shared" si="21"/>
        <v/>
      </c>
      <c r="U143" s="498" t="str">
        <f t="shared" si="22"/>
        <v/>
      </c>
      <c r="V143" s="536" t="str">
        <f t="shared" si="18"/>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19"/>
        <v/>
      </c>
      <c r="AE143" s="82"/>
      <c r="AF143" s="82"/>
      <c r="AG143" s="506" t="str">
        <f t="shared" si="23"/>
        <v/>
      </c>
      <c r="AH143" s="520" t="str">
        <f t="shared" si="24"/>
        <v/>
      </c>
      <c r="AI143" s="521" t="str">
        <f>IF(AH143="Check Data","Check Data",IFERROR(VLOOKUP(AH143,'G-4 Temporal multipliers'!$A$4:$C$36,3,FALSE),""))</f>
        <v/>
      </c>
      <c r="AJ143" s="497" t="str">
        <f>IF(S143="","",VLOOKUP(S143,'G-3 Multipliers'!$A$2:$E$129,4,FALSE))</f>
        <v/>
      </c>
      <c r="AK143" s="506" t="str">
        <f t="shared" si="25"/>
        <v/>
      </c>
      <c r="AL143" s="506" t="str">
        <f t="shared" si="26"/>
        <v/>
      </c>
      <c r="AM143" s="539" t="str">
        <f>IFERROR(IF(F143="","",IF(AH143="Check Data ⚠","Check Data ⚠",VLOOKUP(AL143, 'G-3 Multipliers'!$P$2:$Q$6,2,FALSE))),"")</f>
        <v/>
      </c>
      <c r="AN143" s="512" t="str">
        <f t="shared" si="20"/>
        <v/>
      </c>
      <c r="AO143" s="238"/>
      <c r="AP143" s="239"/>
    </row>
    <row r="144" spans="1:42" x14ac:dyDescent="0.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c r="R144" s="237"/>
      <c r="S144" s="391" t="str">
        <f>IFERROR(INDEX('G-1 All Habitats'!$B$3:$B$129,MATCH(R144,'G-1 All Habitats'!$A$3:$A$129,0)),"")</f>
        <v/>
      </c>
      <c r="T144" s="497" t="str">
        <f t="shared" si="21"/>
        <v/>
      </c>
      <c r="U144" s="498" t="str">
        <f t="shared" si="22"/>
        <v/>
      </c>
      <c r="V144" s="536" t="str">
        <f t="shared" si="18"/>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19"/>
        <v/>
      </c>
      <c r="AE144" s="82"/>
      <c r="AF144" s="82"/>
      <c r="AG144" s="506" t="str">
        <f t="shared" si="23"/>
        <v/>
      </c>
      <c r="AH144" s="520" t="str">
        <f t="shared" si="24"/>
        <v/>
      </c>
      <c r="AI144" s="521" t="str">
        <f>IF(AH144="Check Data","Check Data",IFERROR(VLOOKUP(AH144,'G-4 Temporal multipliers'!$A$4:$C$36,3,FALSE),""))</f>
        <v/>
      </c>
      <c r="AJ144" s="497" t="str">
        <f>IF(S144="","",VLOOKUP(S144,'G-3 Multipliers'!$A$2:$E$129,4,FALSE))</f>
        <v/>
      </c>
      <c r="AK144" s="506" t="str">
        <f t="shared" si="25"/>
        <v/>
      </c>
      <c r="AL144" s="506" t="str">
        <f t="shared" si="26"/>
        <v/>
      </c>
      <c r="AM144" s="539" t="str">
        <f>IFERROR(IF(F144="","",IF(AH144="Check Data ⚠","Check Data ⚠",VLOOKUP(AL144, 'G-3 Multipliers'!$P$2:$Q$6,2,FALSE))),"")</f>
        <v/>
      </c>
      <c r="AN144" s="512" t="str">
        <f t="shared" si="20"/>
        <v/>
      </c>
      <c r="AO144" s="238"/>
      <c r="AP144" s="239"/>
    </row>
    <row r="145" spans="1:42" x14ac:dyDescent="0.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c r="R145" s="237"/>
      <c r="S145" s="391" t="str">
        <f>IFERROR(INDEX('G-1 All Habitats'!$B$3:$B$129,MATCH(R145,'G-1 All Habitats'!$A$3:$A$129,0)),"")</f>
        <v/>
      </c>
      <c r="T145" s="497" t="str">
        <f t="shared" si="21"/>
        <v/>
      </c>
      <c r="U145" s="498" t="str">
        <f t="shared" si="22"/>
        <v/>
      </c>
      <c r="V145" s="536" t="str">
        <f t="shared" si="18"/>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19"/>
        <v/>
      </c>
      <c r="AE145" s="82"/>
      <c r="AF145" s="82"/>
      <c r="AG145" s="506" t="str">
        <f t="shared" si="23"/>
        <v/>
      </c>
      <c r="AH145" s="520" t="str">
        <f t="shared" si="24"/>
        <v/>
      </c>
      <c r="AI145" s="521" t="str">
        <f>IF(AH145="Check Data","Check Data",IFERROR(VLOOKUP(AH145,'G-4 Temporal multipliers'!$A$4:$C$36,3,FALSE),""))</f>
        <v/>
      </c>
      <c r="AJ145" s="497" t="str">
        <f>IF(S145="","",VLOOKUP(S145,'G-3 Multipliers'!$A$2:$E$129,4,FALSE))</f>
        <v/>
      </c>
      <c r="AK145" s="506" t="str">
        <f t="shared" si="25"/>
        <v/>
      </c>
      <c r="AL145" s="506" t="str">
        <f t="shared" si="26"/>
        <v/>
      </c>
      <c r="AM145" s="539" t="str">
        <f>IFERROR(IF(F145="","",IF(AH145="Check Data ⚠","Check Data ⚠",VLOOKUP(AL145, 'G-3 Multipliers'!$P$2:$Q$6,2,FALSE))),"")</f>
        <v/>
      </c>
      <c r="AN145" s="512" t="str">
        <f t="shared" si="20"/>
        <v/>
      </c>
      <c r="AO145" s="238"/>
      <c r="AP145" s="239"/>
    </row>
    <row r="146" spans="1:42" x14ac:dyDescent="0.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c r="R146" s="237"/>
      <c r="S146" s="391" t="str">
        <f>IFERROR(INDEX('G-1 All Habitats'!$B$3:$B$129,MATCH(R146,'G-1 All Habitats'!$A$3:$A$129,0)),"")</f>
        <v/>
      </c>
      <c r="T146" s="497" t="str">
        <f t="shared" si="21"/>
        <v/>
      </c>
      <c r="U146" s="498" t="str">
        <f t="shared" si="22"/>
        <v/>
      </c>
      <c r="V146" s="536" t="str">
        <f t="shared" si="18"/>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19"/>
        <v/>
      </c>
      <c r="AE146" s="82"/>
      <c r="AF146" s="82"/>
      <c r="AG146" s="506" t="str">
        <f t="shared" si="23"/>
        <v/>
      </c>
      <c r="AH146" s="520" t="str">
        <f t="shared" si="24"/>
        <v/>
      </c>
      <c r="AI146" s="521" t="str">
        <f>IF(AH146="Check Data","Check Data",IFERROR(VLOOKUP(AH146,'G-4 Temporal multipliers'!$A$4:$C$36,3,FALSE),""))</f>
        <v/>
      </c>
      <c r="AJ146" s="497" t="str">
        <f>IF(S146="","",VLOOKUP(S146,'G-3 Multipliers'!$A$2:$E$129,4,FALSE))</f>
        <v/>
      </c>
      <c r="AK146" s="506" t="str">
        <f t="shared" si="25"/>
        <v/>
      </c>
      <c r="AL146" s="506" t="str">
        <f t="shared" si="26"/>
        <v/>
      </c>
      <c r="AM146" s="539" t="str">
        <f>IFERROR(IF(F146="","",IF(AH146="Check Data ⚠","Check Data ⚠",VLOOKUP(AL146, 'G-3 Multipliers'!$P$2:$Q$6,2,FALSE))),"")</f>
        <v/>
      </c>
      <c r="AN146" s="512" t="str">
        <f t="shared" si="20"/>
        <v/>
      </c>
      <c r="AO146" s="238"/>
      <c r="AP146" s="239"/>
    </row>
    <row r="147" spans="1:42" x14ac:dyDescent="0.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c r="R147" s="237"/>
      <c r="S147" s="391" t="str">
        <f>IFERROR(INDEX('G-1 All Habitats'!$B$3:$B$129,MATCH(R147,'G-1 All Habitats'!$A$3:$A$129,0)),"")</f>
        <v/>
      </c>
      <c r="T147" s="497" t="str">
        <f t="shared" si="21"/>
        <v/>
      </c>
      <c r="U147" s="498" t="str">
        <f t="shared" si="22"/>
        <v/>
      </c>
      <c r="V147" s="536" t="str">
        <f t="shared" si="18"/>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19"/>
        <v/>
      </c>
      <c r="AE147" s="82"/>
      <c r="AF147" s="82"/>
      <c r="AG147" s="506" t="str">
        <f t="shared" si="23"/>
        <v/>
      </c>
      <c r="AH147" s="520" t="str">
        <f t="shared" si="24"/>
        <v/>
      </c>
      <c r="AI147" s="521" t="str">
        <f>IF(AH147="Check Data","Check Data",IFERROR(VLOOKUP(AH147,'G-4 Temporal multipliers'!$A$4:$C$36,3,FALSE),""))</f>
        <v/>
      </c>
      <c r="AJ147" s="497" t="str">
        <f>IF(S147="","",VLOOKUP(S147,'G-3 Multipliers'!$A$2:$E$129,4,FALSE))</f>
        <v/>
      </c>
      <c r="AK147" s="506" t="str">
        <f t="shared" si="25"/>
        <v/>
      </c>
      <c r="AL147" s="506" t="str">
        <f t="shared" si="26"/>
        <v/>
      </c>
      <c r="AM147" s="539" t="str">
        <f>IFERROR(IF(F147="","",IF(AH147="Check Data ⚠","Check Data ⚠",VLOOKUP(AL147, 'G-3 Multipliers'!$P$2:$Q$6,2,FALSE))),"")</f>
        <v/>
      </c>
      <c r="AN147" s="512" t="str">
        <f t="shared" si="20"/>
        <v/>
      </c>
      <c r="AO147" s="238"/>
      <c r="AP147" s="239"/>
    </row>
    <row r="148" spans="1:42" x14ac:dyDescent="0.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c r="R148" s="237"/>
      <c r="S148" s="391" t="str">
        <f>IFERROR(INDEX('G-1 All Habitats'!$B$3:$B$129,MATCH(R148,'G-1 All Habitats'!$A$3:$A$129,0)),"")</f>
        <v/>
      </c>
      <c r="T148" s="497" t="str">
        <f t="shared" si="21"/>
        <v/>
      </c>
      <c r="U148" s="498" t="str">
        <f t="shared" si="22"/>
        <v/>
      </c>
      <c r="V148" s="536" t="str">
        <f t="shared" si="18"/>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19"/>
        <v/>
      </c>
      <c r="AE148" s="82"/>
      <c r="AF148" s="82"/>
      <c r="AG148" s="506" t="str">
        <f t="shared" si="23"/>
        <v/>
      </c>
      <c r="AH148" s="520" t="str">
        <f t="shared" si="24"/>
        <v/>
      </c>
      <c r="AI148" s="521" t="str">
        <f>IF(AH148="Check Data","Check Data",IFERROR(VLOOKUP(AH148,'G-4 Temporal multipliers'!$A$4:$C$36,3,FALSE),""))</f>
        <v/>
      </c>
      <c r="AJ148" s="497" t="str">
        <f>IF(S148="","",VLOOKUP(S148,'G-3 Multipliers'!$A$2:$E$129,4,FALSE))</f>
        <v/>
      </c>
      <c r="AK148" s="506" t="str">
        <f t="shared" si="25"/>
        <v/>
      </c>
      <c r="AL148" s="506" t="str">
        <f t="shared" si="26"/>
        <v/>
      </c>
      <c r="AM148" s="539" t="str">
        <f>IFERROR(IF(F148="","",IF(AH148="Check Data ⚠","Check Data ⚠",VLOOKUP(AL148, 'G-3 Multipliers'!$P$2:$Q$6,2,FALSE))),"")</f>
        <v/>
      </c>
      <c r="AN148" s="512" t="str">
        <f t="shared" si="20"/>
        <v/>
      </c>
      <c r="AO148" s="238"/>
      <c r="AP148" s="239"/>
    </row>
    <row r="149" spans="1:42" x14ac:dyDescent="0.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c r="R149" s="237"/>
      <c r="S149" s="391" t="str">
        <f>IFERROR(INDEX('G-1 All Habitats'!$B$3:$B$129,MATCH(R149,'G-1 All Habitats'!$A$3:$A$129,0)),"")</f>
        <v/>
      </c>
      <c r="T149" s="497" t="str">
        <f t="shared" si="21"/>
        <v/>
      </c>
      <c r="U149" s="498" t="str">
        <f t="shared" si="22"/>
        <v/>
      </c>
      <c r="V149" s="536" t="str">
        <f t="shared" si="18"/>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19"/>
        <v/>
      </c>
      <c r="AE149" s="82"/>
      <c r="AF149" s="82"/>
      <c r="AG149" s="506" t="str">
        <f t="shared" si="23"/>
        <v/>
      </c>
      <c r="AH149" s="520" t="str">
        <f t="shared" si="24"/>
        <v/>
      </c>
      <c r="AI149" s="521" t="str">
        <f>IF(AH149="Check Data","Check Data",IFERROR(VLOOKUP(AH149,'G-4 Temporal multipliers'!$A$4:$C$36,3,FALSE),""))</f>
        <v/>
      </c>
      <c r="AJ149" s="497" t="str">
        <f>IF(S149="","",VLOOKUP(S149,'G-3 Multipliers'!$A$2:$E$129,4,FALSE))</f>
        <v/>
      </c>
      <c r="AK149" s="506" t="str">
        <f t="shared" si="25"/>
        <v/>
      </c>
      <c r="AL149" s="506" t="str">
        <f t="shared" si="26"/>
        <v/>
      </c>
      <c r="AM149" s="539" t="str">
        <f>IFERROR(IF(F149="","",IF(AH149="Check Data ⚠","Check Data ⚠",VLOOKUP(AL149, 'G-3 Multipliers'!$P$2:$Q$6,2,FALSE))),"")</f>
        <v/>
      </c>
      <c r="AN149" s="512" t="str">
        <f t="shared" si="20"/>
        <v/>
      </c>
      <c r="AO149" s="238"/>
      <c r="AP149" s="239"/>
    </row>
    <row r="150" spans="1:42" x14ac:dyDescent="0.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c r="R150" s="237"/>
      <c r="S150" s="391" t="str">
        <f>IFERROR(INDEX('G-1 All Habitats'!$B$3:$B$129,MATCH(R150,'G-1 All Habitats'!$A$3:$A$129,0)),"")</f>
        <v/>
      </c>
      <c r="T150" s="497" t="str">
        <f t="shared" si="21"/>
        <v/>
      </c>
      <c r="U150" s="498" t="str">
        <f t="shared" si="22"/>
        <v/>
      </c>
      <c r="V150" s="536" t="str">
        <f t="shared" si="18"/>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19"/>
        <v/>
      </c>
      <c r="AE150" s="82"/>
      <c r="AF150" s="82"/>
      <c r="AG150" s="506" t="str">
        <f t="shared" si="23"/>
        <v/>
      </c>
      <c r="AH150" s="520" t="str">
        <f t="shared" si="24"/>
        <v/>
      </c>
      <c r="AI150" s="521" t="str">
        <f>IF(AH150="Check Data","Check Data",IFERROR(VLOOKUP(AH150,'G-4 Temporal multipliers'!$A$4:$C$36,3,FALSE),""))</f>
        <v/>
      </c>
      <c r="AJ150" s="497" t="str">
        <f>IF(S150="","",VLOOKUP(S150,'G-3 Multipliers'!$A$2:$E$129,4,FALSE))</f>
        <v/>
      </c>
      <c r="AK150" s="506" t="str">
        <f t="shared" si="25"/>
        <v/>
      </c>
      <c r="AL150" s="506" t="str">
        <f t="shared" si="26"/>
        <v/>
      </c>
      <c r="AM150" s="539" t="str">
        <f>IFERROR(IF(F150="","",IF(AH150="Check Data ⚠","Check Data ⚠",VLOOKUP(AL150, 'G-3 Multipliers'!$P$2:$Q$6,2,FALSE))),"")</f>
        <v/>
      </c>
      <c r="AN150" s="512" t="str">
        <f t="shared" si="20"/>
        <v/>
      </c>
      <c r="AO150" s="238"/>
      <c r="AP150" s="239"/>
    </row>
    <row r="151" spans="1:42" x14ac:dyDescent="0.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c r="R151" s="237"/>
      <c r="S151" s="391" t="str">
        <f>IFERROR(INDEX('G-1 All Habitats'!$B$3:$B$129,MATCH(R151,'G-1 All Habitats'!$A$3:$A$129,0)),"")</f>
        <v/>
      </c>
      <c r="T151" s="497" t="str">
        <f t="shared" si="21"/>
        <v/>
      </c>
      <c r="U151" s="498" t="str">
        <f t="shared" si="22"/>
        <v/>
      </c>
      <c r="V151" s="536" t="str">
        <f t="shared" si="18"/>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19"/>
        <v/>
      </c>
      <c r="AE151" s="82"/>
      <c r="AF151" s="82"/>
      <c r="AG151" s="506" t="str">
        <f t="shared" si="23"/>
        <v/>
      </c>
      <c r="AH151" s="520" t="str">
        <f t="shared" si="24"/>
        <v/>
      </c>
      <c r="AI151" s="521" t="str">
        <f>IF(AH151="Check Data","Check Data",IFERROR(VLOOKUP(AH151,'G-4 Temporal multipliers'!$A$4:$C$36,3,FALSE),""))</f>
        <v/>
      </c>
      <c r="AJ151" s="497" t="str">
        <f>IF(S151="","",VLOOKUP(S151,'G-3 Multipliers'!$A$2:$E$129,4,FALSE))</f>
        <v/>
      </c>
      <c r="AK151" s="506" t="str">
        <f t="shared" si="25"/>
        <v/>
      </c>
      <c r="AL151" s="506" t="str">
        <f t="shared" si="26"/>
        <v/>
      </c>
      <c r="AM151" s="539" t="str">
        <f>IFERROR(IF(F151="","",IF(AH151="Check Data ⚠","Check Data ⚠",VLOOKUP(AL151, 'G-3 Multipliers'!$P$2:$Q$6,2,FALSE))),"")</f>
        <v/>
      </c>
      <c r="AN151" s="512" t="str">
        <f t="shared" si="20"/>
        <v/>
      </c>
      <c r="AO151" s="238"/>
      <c r="AP151" s="239"/>
    </row>
    <row r="152" spans="1:42" x14ac:dyDescent="0.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c r="R152" s="237"/>
      <c r="S152" s="391" t="str">
        <f>IFERROR(INDEX('G-1 All Habitats'!$B$3:$B$129,MATCH(R152,'G-1 All Habitats'!$A$3:$A$129,0)),"")</f>
        <v/>
      </c>
      <c r="T152" s="497" t="str">
        <f t="shared" si="21"/>
        <v/>
      </c>
      <c r="U152" s="498" t="str">
        <f t="shared" si="22"/>
        <v/>
      </c>
      <c r="V152" s="536" t="str">
        <f t="shared" si="18"/>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19"/>
        <v/>
      </c>
      <c r="AE152" s="82"/>
      <c r="AF152" s="82"/>
      <c r="AG152" s="506" t="str">
        <f t="shared" si="23"/>
        <v/>
      </c>
      <c r="AH152" s="520" t="str">
        <f t="shared" si="24"/>
        <v/>
      </c>
      <c r="AI152" s="521" t="str">
        <f>IF(AH152="Check Data","Check Data",IFERROR(VLOOKUP(AH152,'G-4 Temporal multipliers'!$A$4:$C$36,3,FALSE),""))</f>
        <v/>
      </c>
      <c r="AJ152" s="497" t="str">
        <f>IF(S152="","",VLOOKUP(S152,'G-3 Multipliers'!$A$2:$E$129,4,FALSE))</f>
        <v/>
      </c>
      <c r="AK152" s="506" t="str">
        <f t="shared" si="25"/>
        <v/>
      </c>
      <c r="AL152" s="506" t="str">
        <f t="shared" si="26"/>
        <v/>
      </c>
      <c r="AM152" s="539" t="str">
        <f>IFERROR(IF(F152="","",IF(AH152="Check Data ⚠","Check Data ⚠",VLOOKUP(AL152, 'G-3 Multipliers'!$P$2:$Q$6,2,FALSE))),"")</f>
        <v/>
      </c>
      <c r="AN152" s="512" t="str">
        <f t="shared" si="20"/>
        <v/>
      </c>
      <c r="AO152" s="238"/>
      <c r="AP152" s="239"/>
    </row>
    <row r="153" spans="1:42" x14ac:dyDescent="0.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c r="R153" s="237"/>
      <c r="S153" s="391" t="str">
        <f>IFERROR(INDEX('G-1 All Habitats'!$B$3:$B$129,MATCH(R153,'G-1 All Habitats'!$A$3:$A$129,0)),"")</f>
        <v/>
      </c>
      <c r="T153" s="497" t="str">
        <f t="shared" si="21"/>
        <v/>
      </c>
      <c r="U153" s="498" t="str">
        <f t="shared" si="22"/>
        <v/>
      </c>
      <c r="V153" s="536" t="str">
        <f t="shared" si="18"/>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19"/>
        <v/>
      </c>
      <c r="AE153" s="82"/>
      <c r="AF153" s="82"/>
      <c r="AG153" s="506" t="str">
        <f t="shared" si="23"/>
        <v/>
      </c>
      <c r="AH153" s="520" t="str">
        <f t="shared" si="24"/>
        <v/>
      </c>
      <c r="AI153" s="521" t="str">
        <f>IF(AH153="Check Data","Check Data",IFERROR(VLOOKUP(AH153,'G-4 Temporal multipliers'!$A$4:$C$36,3,FALSE),""))</f>
        <v/>
      </c>
      <c r="AJ153" s="497" t="str">
        <f>IF(S153="","",VLOOKUP(S153,'G-3 Multipliers'!$A$2:$E$129,4,FALSE))</f>
        <v/>
      </c>
      <c r="AK153" s="506" t="str">
        <f t="shared" si="25"/>
        <v/>
      </c>
      <c r="AL153" s="506" t="str">
        <f t="shared" si="26"/>
        <v/>
      </c>
      <c r="AM153" s="539" t="str">
        <f>IFERROR(IF(F153="","",IF(AH153="Check Data ⚠","Check Data ⚠",VLOOKUP(AL153, 'G-3 Multipliers'!$P$2:$Q$6,2,FALSE))),"")</f>
        <v/>
      </c>
      <c r="AN153" s="512" t="str">
        <f t="shared" si="20"/>
        <v/>
      </c>
      <c r="AO153" s="238"/>
      <c r="AP153" s="239"/>
    </row>
    <row r="154" spans="1:42" x14ac:dyDescent="0.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c r="R154" s="237"/>
      <c r="S154" s="391" t="str">
        <f>IFERROR(INDEX('G-1 All Habitats'!$B$3:$B$129,MATCH(R154,'G-1 All Habitats'!$A$3:$A$129,0)),"")</f>
        <v/>
      </c>
      <c r="T154" s="497" t="str">
        <f t="shared" si="21"/>
        <v/>
      </c>
      <c r="U154" s="498" t="str">
        <f t="shared" si="22"/>
        <v/>
      </c>
      <c r="V154" s="536" t="str">
        <f t="shared" si="18"/>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19"/>
        <v/>
      </c>
      <c r="AE154" s="82"/>
      <c r="AF154" s="82"/>
      <c r="AG154" s="506" t="str">
        <f t="shared" si="23"/>
        <v/>
      </c>
      <c r="AH154" s="520" t="str">
        <f t="shared" si="24"/>
        <v/>
      </c>
      <c r="AI154" s="521" t="str">
        <f>IF(AH154="Check Data","Check Data",IFERROR(VLOOKUP(AH154,'G-4 Temporal multipliers'!$A$4:$C$36,3,FALSE),""))</f>
        <v/>
      </c>
      <c r="AJ154" s="497" t="str">
        <f>IF(S154="","",VLOOKUP(S154,'G-3 Multipliers'!$A$2:$E$129,4,FALSE))</f>
        <v/>
      </c>
      <c r="AK154" s="506" t="str">
        <f t="shared" si="25"/>
        <v/>
      </c>
      <c r="AL154" s="506" t="str">
        <f t="shared" si="26"/>
        <v/>
      </c>
      <c r="AM154" s="539" t="str">
        <f>IFERROR(IF(F154="","",IF(AH154="Check Data ⚠","Check Data ⚠",VLOOKUP(AL154, 'G-3 Multipliers'!$P$2:$Q$6,2,FALSE))),"")</f>
        <v/>
      </c>
      <c r="AN154" s="512" t="str">
        <f t="shared" si="20"/>
        <v/>
      </c>
      <c r="AO154" s="238"/>
      <c r="AP154" s="239"/>
    </row>
    <row r="155" spans="1:42" x14ac:dyDescent="0.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c r="R155" s="237"/>
      <c r="S155" s="391" t="str">
        <f>IFERROR(INDEX('G-1 All Habitats'!$B$3:$B$129,MATCH(R155,'G-1 All Habitats'!$A$3:$A$129,0)),"")</f>
        <v/>
      </c>
      <c r="T155" s="497" t="str">
        <f t="shared" si="21"/>
        <v/>
      </c>
      <c r="U155" s="498" t="str">
        <f t="shared" si="22"/>
        <v/>
      </c>
      <c r="V155" s="536" t="str">
        <f t="shared" si="18"/>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19"/>
        <v/>
      </c>
      <c r="AE155" s="82"/>
      <c r="AF155" s="82"/>
      <c r="AG155" s="506" t="str">
        <f t="shared" si="23"/>
        <v/>
      </c>
      <c r="AH155" s="520" t="str">
        <f t="shared" si="24"/>
        <v/>
      </c>
      <c r="AI155" s="521" t="str">
        <f>IF(AH155="Check Data","Check Data",IFERROR(VLOOKUP(AH155,'G-4 Temporal multipliers'!$A$4:$C$36,3,FALSE),""))</f>
        <v/>
      </c>
      <c r="AJ155" s="497" t="str">
        <f>IF(S155="","",VLOOKUP(S155,'G-3 Multipliers'!$A$2:$E$129,4,FALSE))</f>
        <v/>
      </c>
      <c r="AK155" s="506" t="str">
        <f t="shared" si="25"/>
        <v/>
      </c>
      <c r="AL155" s="506" t="str">
        <f t="shared" si="26"/>
        <v/>
      </c>
      <c r="AM155" s="539" t="str">
        <f>IFERROR(IF(F155="","",IF(AH155="Check Data ⚠","Check Data ⚠",VLOOKUP(AL155, 'G-3 Multipliers'!$P$2:$Q$6,2,FALSE))),"")</f>
        <v/>
      </c>
      <c r="AN155" s="512" t="str">
        <f t="shared" si="20"/>
        <v/>
      </c>
      <c r="AO155" s="238"/>
      <c r="AP155" s="239"/>
    </row>
    <row r="156" spans="1:42" x14ac:dyDescent="0.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c r="R156" s="237"/>
      <c r="S156" s="391" t="str">
        <f>IFERROR(INDEX('G-1 All Habitats'!$B$3:$B$129,MATCH(R156,'G-1 All Habitats'!$A$3:$A$129,0)),"")</f>
        <v/>
      </c>
      <c r="T156" s="497" t="str">
        <f t="shared" si="21"/>
        <v/>
      </c>
      <c r="U156" s="498" t="str">
        <f t="shared" si="22"/>
        <v/>
      </c>
      <c r="V156" s="536" t="str">
        <f t="shared" si="18"/>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19"/>
        <v/>
      </c>
      <c r="AE156" s="82"/>
      <c r="AF156" s="82"/>
      <c r="AG156" s="506" t="str">
        <f t="shared" si="23"/>
        <v/>
      </c>
      <c r="AH156" s="520" t="str">
        <f t="shared" si="24"/>
        <v/>
      </c>
      <c r="AI156" s="521" t="str">
        <f>IF(AH156="Check Data","Check Data",IFERROR(VLOOKUP(AH156,'G-4 Temporal multipliers'!$A$4:$C$36,3,FALSE),""))</f>
        <v/>
      </c>
      <c r="AJ156" s="497" t="str">
        <f>IF(S156="","",VLOOKUP(S156,'G-3 Multipliers'!$A$2:$E$129,4,FALSE))</f>
        <v/>
      </c>
      <c r="AK156" s="506" t="str">
        <f t="shared" si="25"/>
        <v/>
      </c>
      <c r="AL156" s="506" t="str">
        <f t="shared" si="26"/>
        <v/>
      </c>
      <c r="AM156" s="539" t="str">
        <f>IFERROR(IF(F156="","",IF(AH156="Check Data ⚠","Check Data ⚠",VLOOKUP(AL156, 'G-3 Multipliers'!$P$2:$Q$6,2,FALSE))),"")</f>
        <v/>
      </c>
      <c r="AN156" s="512" t="str">
        <f t="shared" si="20"/>
        <v/>
      </c>
      <c r="AO156" s="238"/>
      <c r="AP156" s="239"/>
    </row>
    <row r="157" spans="1:42" x14ac:dyDescent="0.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c r="R157" s="237"/>
      <c r="S157" s="391" t="str">
        <f>IFERROR(INDEX('G-1 All Habitats'!$B$3:$B$129,MATCH(R157,'G-1 All Habitats'!$A$3:$A$129,0)),"")</f>
        <v/>
      </c>
      <c r="T157" s="497" t="str">
        <f t="shared" si="21"/>
        <v/>
      </c>
      <c r="U157" s="498" t="str">
        <f t="shared" si="22"/>
        <v/>
      </c>
      <c r="V157" s="536" t="str">
        <f t="shared" si="18"/>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19"/>
        <v/>
      </c>
      <c r="AE157" s="82"/>
      <c r="AF157" s="82"/>
      <c r="AG157" s="506" t="str">
        <f t="shared" si="23"/>
        <v/>
      </c>
      <c r="AH157" s="520" t="str">
        <f t="shared" si="24"/>
        <v/>
      </c>
      <c r="AI157" s="521" t="str">
        <f>IF(AH157="Check Data","Check Data",IFERROR(VLOOKUP(AH157,'G-4 Temporal multipliers'!$A$4:$C$36,3,FALSE),""))</f>
        <v/>
      </c>
      <c r="AJ157" s="497" t="str">
        <f>IF(S157="","",VLOOKUP(S157,'G-3 Multipliers'!$A$2:$E$129,4,FALSE))</f>
        <v/>
      </c>
      <c r="AK157" s="506" t="str">
        <f t="shared" si="25"/>
        <v/>
      </c>
      <c r="AL157" s="506" t="str">
        <f t="shared" si="26"/>
        <v/>
      </c>
      <c r="AM157" s="539" t="str">
        <f>IFERROR(IF(F157="","",IF(AH157="Check Data ⚠","Check Data ⚠",VLOOKUP(AL157, 'G-3 Multipliers'!$P$2:$Q$6,2,FALSE))),"")</f>
        <v/>
      </c>
      <c r="AN157" s="512" t="str">
        <f t="shared" si="20"/>
        <v/>
      </c>
      <c r="AO157" s="238"/>
      <c r="AP157" s="239"/>
    </row>
    <row r="158" spans="1:42" x14ac:dyDescent="0.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c r="R158" s="237"/>
      <c r="S158" s="391" t="str">
        <f>IFERROR(INDEX('G-1 All Habitats'!$B$3:$B$129,MATCH(R158,'G-1 All Habitats'!$A$3:$A$129,0)),"")</f>
        <v/>
      </c>
      <c r="T158" s="497" t="str">
        <f t="shared" si="21"/>
        <v/>
      </c>
      <c r="U158" s="498" t="str">
        <f t="shared" si="22"/>
        <v/>
      </c>
      <c r="V158" s="536" t="str">
        <f t="shared" si="18"/>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19"/>
        <v/>
      </c>
      <c r="AE158" s="82"/>
      <c r="AF158" s="82"/>
      <c r="AG158" s="506" t="str">
        <f t="shared" si="23"/>
        <v/>
      </c>
      <c r="AH158" s="520" t="str">
        <f t="shared" si="24"/>
        <v/>
      </c>
      <c r="AI158" s="521" t="str">
        <f>IF(AH158="Check Data","Check Data",IFERROR(VLOOKUP(AH158,'G-4 Temporal multipliers'!$A$4:$C$36,3,FALSE),""))</f>
        <v/>
      </c>
      <c r="AJ158" s="497" t="str">
        <f>IF(S158="","",VLOOKUP(S158,'G-3 Multipliers'!$A$2:$E$129,4,FALSE))</f>
        <v/>
      </c>
      <c r="AK158" s="506" t="str">
        <f t="shared" si="25"/>
        <v/>
      </c>
      <c r="AL158" s="506" t="str">
        <f t="shared" si="26"/>
        <v/>
      </c>
      <c r="AM158" s="539" t="str">
        <f>IFERROR(IF(F158="","",IF(AH158="Check Data ⚠","Check Data ⚠",VLOOKUP(AL158, 'G-3 Multipliers'!$P$2:$Q$6,2,FALSE))),"")</f>
        <v/>
      </c>
      <c r="AN158" s="512" t="str">
        <f t="shared" si="20"/>
        <v/>
      </c>
      <c r="AO158" s="238"/>
      <c r="AP158" s="239"/>
    </row>
    <row r="159" spans="1:42" x14ac:dyDescent="0.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c r="R159" s="237"/>
      <c r="S159" s="391" t="str">
        <f>IFERROR(INDEX('G-1 All Habitats'!$B$3:$B$129,MATCH(R159,'G-1 All Habitats'!$A$3:$A$129,0)),"")</f>
        <v/>
      </c>
      <c r="T159" s="497" t="str">
        <f t="shared" si="21"/>
        <v/>
      </c>
      <c r="U159" s="498" t="str">
        <f t="shared" si="22"/>
        <v/>
      </c>
      <c r="V159" s="536" t="str">
        <f t="shared" si="18"/>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19"/>
        <v/>
      </c>
      <c r="AE159" s="82"/>
      <c r="AF159" s="82"/>
      <c r="AG159" s="506" t="str">
        <f t="shared" si="23"/>
        <v/>
      </c>
      <c r="AH159" s="520" t="str">
        <f t="shared" si="24"/>
        <v/>
      </c>
      <c r="AI159" s="521" t="str">
        <f>IF(AH159="Check Data","Check Data",IFERROR(VLOOKUP(AH159,'G-4 Temporal multipliers'!$A$4:$C$36,3,FALSE),""))</f>
        <v/>
      </c>
      <c r="AJ159" s="497" t="str">
        <f>IF(S159="","",VLOOKUP(S159,'G-3 Multipliers'!$A$2:$E$129,4,FALSE))</f>
        <v/>
      </c>
      <c r="AK159" s="506" t="str">
        <f t="shared" si="25"/>
        <v/>
      </c>
      <c r="AL159" s="506" t="str">
        <f t="shared" si="26"/>
        <v/>
      </c>
      <c r="AM159" s="539" t="str">
        <f>IFERROR(IF(F159="","",IF(AH159="Check Data ⚠","Check Data ⚠",VLOOKUP(AL159, 'G-3 Multipliers'!$P$2:$Q$6,2,FALSE))),"")</f>
        <v/>
      </c>
      <c r="AN159" s="512" t="str">
        <f t="shared" si="20"/>
        <v/>
      </c>
      <c r="AO159" s="238"/>
      <c r="AP159" s="239"/>
    </row>
    <row r="160" spans="1:42" x14ac:dyDescent="0.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c r="R160" s="237"/>
      <c r="S160" s="391" t="str">
        <f>IFERROR(INDEX('G-1 All Habitats'!$B$3:$B$129,MATCH(R160,'G-1 All Habitats'!$A$3:$A$129,0)),"")</f>
        <v/>
      </c>
      <c r="T160" s="497" t="str">
        <f t="shared" si="21"/>
        <v/>
      </c>
      <c r="U160" s="498" t="str">
        <f t="shared" si="22"/>
        <v/>
      </c>
      <c r="V160" s="536" t="str">
        <f t="shared" si="18"/>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19"/>
        <v/>
      </c>
      <c r="AE160" s="82"/>
      <c r="AF160" s="82"/>
      <c r="AG160" s="506" t="str">
        <f t="shared" si="23"/>
        <v/>
      </c>
      <c r="AH160" s="520" t="str">
        <f t="shared" si="24"/>
        <v/>
      </c>
      <c r="AI160" s="521" t="str">
        <f>IF(AH160="Check Data","Check Data",IFERROR(VLOOKUP(AH160,'G-4 Temporal multipliers'!$A$4:$C$36,3,FALSE),""))</f>
        <v/>
      </c>
      <c r="AJ160" s="497" t="str">
        <f>IF(S160="","",VLOOKUP(S160,'G-3 Multipliers'!$A$2:$E$129,4,FALSE))</f>
        <v/>
      </c>
      <c r="AK160" s="506" t="str">
        <f t="shared" si="25"/>
        <v/>
      </c>
      <c r="AL160" s="506" t="str">
        <f t="shared" si="26"/>
        <v/>
      </c>
      <c r="AM160" s="539" t="str">
        <f>IFERROR(IF(F160="","",IF(AH160="Check Data ⚠","Check Data ⚠",VLOOKUP(AL160, 'G-3 Multipliers'!$P$2:$Q$6,2,FALSE))),"")</f>
        <v/>
      </c>
      <c r="AN160" s="512" t="str">
        <f t="shared" si="20"/>
        <v/>
      </c>
      <c r="AO160" s="238"/>
      <c r="AP160" s="239"/>
    </row>
    <row r="161" spans="1:42" x14ac:dyDescent="0.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c r="R161" s="237"/>
      <c r="S161" s="391" t="str">
        <f>IFERROR(INDEX('G-1 All Habitats'!$B$3:$B$129,MATCH(R161,'G-1 All Habitats'!$A$3:$A$129,0)),"")</f>
        <v/>
      </c>
      <c r="T161" s="497" t="str">
        <f t="shared" si="21"/>
        <v/>
      </c>
      <c r="U161" s="498" t="str">
        <f t="shared" si="22"/>
        <v/>
      </c>
      <c r="V161" s="536" t="str">
        <f t="shared" si="18"/>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19"/>
        <v/>
      </c>
      <c r="AE161" s="82"/>
      <c r="AF161" s="82"/>
      <c r="AG161" s="506" t="str">
        <f t="shared" si="23"/>
        <v/>
      </c>
      <c r="AH161" s="520" t="str">
        <f t="shared" si="24"/>
        <v/>
      </c>
      <c r="AI161" s="521" t="str">
        <f>IF(AH161="Check Data","Check Data",IFERROR(VLOOKUP(AH161,'G-4 Temporal multipliers'!$A$4:$C$36,3,FALSE),""))</f>
        <v/>
      </c>
      <c r="AJ161" s="497" t="str">
        <f>IF(S161="","",VLOOKUP(S161,'G-3 Multipliers'!$A$2:$E$129,4,FALSE))</f>
        <v/>
      </c>
      <c r="AK161" s="506" t="str">
        <f t="shared" si="25"/>
        <v/>
      </c>
      <c r="AL161" s="506" t="str">
        <f t="shared" si="26"/>
        <v/>
      </c>
      <c r="AM161" s="539" t="str">
        <f>IFERROR(IF(F161="","",IF(AH161="Check Data ⚠","Check Data ⚠",VLOOKUP(AL161, 'G-3 Multipliers'!$P$2:$Q$6,2,FALSE))),"")</f>
        <v/>
      </c>
      <c r="AN161" s="512" t="str">
        <f t="shared" si="20"/>
        <v/>
      </c>
      <c r="AO161" s="238"/>
      <c r="AP161" s="239"/>
    </row>
    <row r="162" spans="1:42" x14ac:dyDescent="0.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c r="R162" s="237"/>
      <c r="S162" s="391" t="str">
        <f>IFERROR(INDEX('G-1 All Habitats'!$B$3:$B$129,MATCH(R162,'G-1 All Habitats'!$A$3:$A$129,0)),"")</f>
        <v/>
      </c>
      <c r="T162" s="497" t="str">
        <f t="shared" si="21"/>
        <v/>
      </c>
      <c r="U162" s="498" t="str">
        <f t="shared" si="22"/>
        <v/>
      </c>
      <c r="V162" s="536" t="str">
        <f t="shared" si="18"/>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19"/>
        <v/>
      </c>
      <c r="AE162" s="82"/>
      <c r="AF162" s="82"/>
      <c r="AG162" s="506" t="str">
        <f t="shared" si="23"/>
        <v/>
      </c>
      <c r="AH162" s="520" t="str">
        <f t="shared" si="24"/>
        <v/>
      </c>
      <c r="AI162" s="521" t="str">
        <f>IF(AH162="Check Data","Check Data",IFERROR(VLOOKUP(AH162,'G-4 Temporal multipliers'!$A$4:$C$36,3,FALSE),""))</f>
        <v/>
      </c>
      <c r="AJ162" s="497" t="str">
        <f>IF(S162="","",VLOOKUP(S162,'G-3 Multipliers'!$A$2:$E$129,4,FALSE))</f>
        <v/>
      </c>
      <c r="AK162" s="506" t="str">
        <f t="shared" si="25"/>
        <v/>
      </c>
      <c r="AL162" s="506" t="str">
        <f t="shared" si="26"/>
        <v/>
      </c>
      <c r="AM162" s="539" t="str">
        <f>IFERROR(IF(F162="","",IF(AH162="Check Data ⚠","Check Data ⚠",VLOOKUP(AL162, 'G-3 Multipliers'!$P$2:$Q$6,2,FALSE))),"")</f>
        <v/>
      </c>
      <c r="AN162" s="512" t="str">
        <f t="shared" si="20"/>
        <v/>
      </c>
      <c r="AO162" s="238"/>
      <c r="AP162" s="239"/>
    </row>
    <row r="163" spans="1:42" x14ac:dyDescent="0.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c r="R163" s="237"/>
      <c r="S163" s="391" t="str">
        <f>IFERROR(INDEX('G-1 All Habitats'!$B$3:$B$129,MATCH(R163,'G-1 All Habitats'!$A$3:$A$129,0)),"")</f>
        <v/>
      </c>
      <c r="T163" s="497" t="str">
        <f t="shared" si="21"/>
        <v/>
      </c>
      <c r="U163" s="498" t="str">
        <f t="shared" si="22"/>
        <v/>
      </c>
      <c r="V163" s="536" t="str">
        <f t="shared" si="18"/>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19"/>
        <v/>
      </c>
      <c r="AE163" s="82"/>
      <c r="AF163" s="82"/>
      <c r="AG163" s="506" t="str">
        <f t="shared" si="23"/>
        <v/>
      </c>
      <c r="AH163" s="520" t="str">
        <f t="shared" si="24"/>
        <v/>
      </c>
      <c r="AI163" s="521" t="str">
        <f>IF(AH163="Check Data","Check Data",IFERROR(VLOOKUP(AH163,'G-4 Temporal multipliers'!$A$4:$C$36,3,FALSE),""))</f>
        <v/>
      </c>
      <c r="AJ163" s="497" t="str">
        <f>IF(S163="","",VLOOKUP(S163,'G-3 Multipliers'!$A$2:$E$129,4,FALSE))</f>
        <v/>
      </c>
      <c r="AK163" s="506" t="str">
        <f t="shared" si="25"/>
        <v/>
      </c>
      <c r="AL163" s="506" t="str">
        <f t="shared" si="26"/>
        <v/>
      </c>
      <c r="AM163" s="539" t="str">
        <f>IFERROR(IF(F163="","",IF(AH163="Check Data ⚠","Check Data ⚠",VLOOKUP(AL163, 'G-3 Multipliers'!$P$2:$Q$6,2,FALSE))),"")</f>
        <v/>
      </c>
      <c r="AN163" s="512" t="str">
        <f t="shared" si="20"/>
        <v/>
      </c>
      <c r="AO163" s="238"/>
      <c r="AP163" s="239"/>
    </row>
    <row r="164" spans="1:42" x14ac:dyDescent="0.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c r="R164" s="237"/>
      <c r="S164" s="391" t="str">
        <f>IFERROR(INDEX('G-1 All Habitats'!$B$3:$B$129,MATCH(R164,'G-1 All Habitats'!$A$3:$A$129,0)),"")</f>
        <v/>
      </c>
      <c r="T164" s="497" t="str">
        <f t="shared" si="21"/>
        <v/>
      </c>
      <c r="U164" s="498" t="str">
        <f t="shared" si="22"/>
        <v/>
      </c>
      <c r="V164" s="536" t="str">
        <f t="shared" si="18"/>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19"/>
        <v/>
      </c>
      <c r="AE164" s="82"/>
      <c r="AF164" s="82"/>
      <c r="AG164" s="506" t="str">
        <f t="shared" si="23"/>
        <v/>
      </c>
      <c r="AH164" s="520" t="str">
        <f t="shared" si="24"/>
        <v/>
      </c>
      <c r="AI164" s="521" t="str">
        <f>IF(AH164="Check Data","Check Data",IFERROR(VLOOKUP(AH164,'G-4 Temporal multipliers'!$A$4:$C$36,3,FALSE),""))</f>
        <v/>
      </c>
      <c r="AJ164" s="497" t="str">
        <f>IF(S164="","",VLOOKUP(S164,'G-3 Multipliers'!$A$2:$E$129,4,FALSE))</f>
        <v/>
      </c>
      <c r="AK164" s="506" t="str">
        <f t="shared" si="25"/>
        <v/>
      </c>
      <c r="AL164" s="506" t="str">
        <f t="shared" si="26"/>
        <v/>
      </c>
      <c r="AM164" s="539" t="str">
        <f>IFERROR(IF(F164="","",IF(AH164="Check Data ⚠","Check Data ⚠",VLOOKUP(AL164, 'G-3 Multipliers'!$P$2:$Q$6,2,FALSE))),"")</f>
        <v/>
      </c>
      <c r="AN164" s="512" t="str">
        <f t="shared" si="20"/>
        <v/>
      </c>
      <c r="AO164" s="238"/>
      <c r="AP164" s="239"/>
    </row>
    <row r="165" spans="1:42" x14ac:dyDescent="0.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c r="R165" s="237"/>
      <c r="S165" s="391" t="str">
        <f>IFERROR(INDEX('G-1 All Habitats'!$B$3:$B$129,MATCH(R165,'G-1 All Habitats'!$A$3:$A$129,0)),"")</f>
        <v/>
      </c>
      <c r="T165" s="497" t="str">
        <f t="shared" si="21"/>
        <v/>
      </c>
      <c r="U165" s="498" t="str">
        <f t="shared" si="22"/>
        <v/>
      </c>
      <c r="V165" s="536" t="str">
        <f t="shared" si="18"/>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19"/>
        <v/>
      </c>
      <c r="AE165" s="82"/>
      <c r="AF165" s="82"/>
      <c r="AG165" s="506" t="str">
        <f t="shared" si="23"/>
        <v/>
      </c>
      <c r="AH165" s="520" t="str">
        <f t="shared" si="24"/>
        <v/>
      </c>
      <c r="AI165" s="521" t="str">
        <f>IF(AH165="Check Data","Check Data",IFERROR(VLOOKUP(AH165,'G-4 Temporal multipliers'!$A$4:$C$36,3,FALSE),""))</f>
        <v/>
      </c>
      <c r="AJ165" s="497" t="str">
        <f>IF(S165="","",VLOOKUP(S165,'G-3 Multipliers'!$A$2:$E$129,4,FALSE))</f>
        <v/>
      </c>
      <c r="AK165" s="506" t="str">
        <f t="shared" si="25"/>
        <v/>
      </c>
      <c r="AL165" s="506" t="str">
        <f t="shared" si="26"/>
        <v/>
      </c>
      <c r="AM165" s="539" t="str">
        <f>IFERROR(IF(F165="","",IF(AH165="Check Data ⚠","Check Data ⚠",VLOOKUP(AL165, 'G-3 Multipliers'!$P$2:$Q$6,2,FALSE))),"")</f>
        <v/>
      </c>
      <c r="AN165" s="512" t="str">
        <f t="shared" si="20"/>
        <v/>
      </c>
      <c r="AO165" s="238"/>
      <c r="AP165" s="239"/>
    </row>
    <row r="166" spans="1:42" x14ac:dyDescent="0.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c r="R166" s="237"/>
      <c r="S166" s="391" t="str">
        <f>IFERROR(INDEX('G-1 All Habitats'!$B$3:$B$129,MATCH(R166,'G-1 All Habitats'!$A$3:$A$129,0)),"")</f>
        <v/>
      </c>
      <c r="T166" s="497" t="str">
        <f t="shared" si="21"/>
        <v/>
      </c>
      <c r="U166" s="498" t="str">
        <f t="shared" si="22"/>
        <v/>
      </c>
      <c r="V166" s="536" t="str">
        <f t="shared" si="18"/>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19"/>
        <v/>
      </c>
      <c r="AE166" s="82"/>
      <c r="AF166" s="82"/>
      <c r="AG166" s="506" t="str">
        <f t="shared" si="23"/>
        <v/>
      </c>
      <c r="AH166" s="520" t="str">
        <f t="shared" si="24"/>
        <v/>
      </c>
      <c r="AI166" s="521" t="str">
        <f>IF(AH166="Check Data","Check Data",IFERROR(VLOOKUP(AH166,'G-4 Temporal multipliers'!$A$4:$C$36,3,FALSE),""))</f>
        <v/>
      </c>
      <c r="AJ166" s="497" t="str">
        <f>IF(S166="","",VLOOKUP(S166,'G-3 Multipliers'!$A$2:$E$129,4,FALSE))</f>
        <v/>
      </c>
      <c r="AK166" s="506" t="str">
        <f t="shared" si="25"/>
        <v/>
      </c>
      <c r="AL166" s="506" t="str">
        <f t="shared" si="26"/>
        <v/>
      </c>
      <c r="AM166" s="539" t="str">
        <f>IFERROR(IF(F166="","",IF(AH166="Check Data ⚠","Check Data ⚠",VLOOKUP(AL166, 'G-3 Multipliers'!$P$2:$Q$6,2,FALSE))),"")</f>
        <v/>
      </c>
      <c r="AN166" s="512" t="str">
        <f t="shared" si="20"/>
        <v/>
      </c>
      <c r="AO166" s="238"/>
      <c r="AP166" s="239"/>
    </row>
    <row r="167" spans="1:42" x14ac:dyDescent="0.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c r="R167" s="237"/>
      <c r="S167" s="391" t="str">
        <f>IFERROR(INDEX('G-1 All Habitats'!$B$3:$B$129,MATCH(R167,'G-1 All Habitats'!$A$3:$A$129,0)),"")</f>
        <v/>
      </c>
      <c r="T167" s="497" t="str">
        <f t="shared" si="21"/>
        <v/>
      </c>
      <c r="U167" s="498" t="str">
        <f t="shared" si="22"/>
        <v/>
      </c>
      <c r="V167" s="536" t="str">
        <f t="shared" si="18"/>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19"/>
        <v/>
      </c>
      <c r="AE167" s="82"/>
      <c r="AF167" s="82"/>
      <c r="AG167" s="506" t="str">
        <f t="shared" si="23"/>
        <v/>
      </c>
      <c r="AH167" s="520" t="str">
        <f t="shared" si="24"/>
        <v/>
      </c>
      <c r="AI167" s="521" t="str">
        <f>IF(AH167="Check Data","Check Data",IFERROR(VLOOKUP(AH167,'G-4 Temporal multipliers'!$A$4:$C$36,3,FALSE),""))</f>
        <v/>
      </c>
      <c r="AJ167" s="497" t="str">
        <f>IF(S167="","",VLOOKUP(S167,'G-3 Multipliers'!$A$2:$E$129,4,FALSE))</f>
        <v/>
      </c>
      <c r="AK167" s="506" t="str">
        <f t="shared" si="25"/>
        <v/>
      </c>
      <c r="AL167" s="506" t="str">
        <f t="shared" si="26"/>
        <v/>
      </c>
      <c r="AM167" s="539" t="str">
        <f>IFERROR(IF(F167="","",IF(AH167="Check Data ⚠","Check Data ⚠",VLOOKUP(AL167, 'G-3 Multipliers'!$P$2:$Q$6,2,FALSE))),"")</f>
        <v/>
      </c>
      <c r="AN167" s="512" t="str">
        <f t="shared" si="20"/>
        <v/>
      </c>
      <c r="AO167" s="238"/>
      <c r="AP167" s="239"/>
    </row>
    <row r="168" spans="1:42" x14ac:dyDescent="0.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c r="R168" s="237"/>
      <c r="S168" s="391" t="str">
        <f>IFERROR(INDEX('G-1 All Habitats'!$B$3:$B$129,MATCH(R168,'G-1 All Habitats'!$A$3:$A$129,0)),"")</f>
        <v/>
      </c>
      <c r="T168" s="497" t="str">
        <f t="shared" si="21"/>
        <v/>
      </c>
      <c r="U168" s="498" t="str">
        <f t="shared" si="22"/>
        <v/>
      </c>
      <c r="V168" s="536" t="str">
        <f t="shared" si="18"/>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19"/>
        <v/>
      </c>
      <c r="AE168" s="82"/>
      <c r="AF168" s="82"/>
      <c r="AG168" s="506" t="str">
        <f t="shared" si="23"/>
        <v/>
      </c>
      <c r="AH168" s="520" t="str">
        <f t="shared" si="24"/>
        <v/>
      </c>
      <c r="AI168" s="521" t="str">
        <f>IF(AH168="Check Data","Check Data",IFERROR(VLOOKUP(AH168,'G-4 Temporal multipliers'!$A$4:$C$36,3,FALSE),""))</f>
        <v/>
      </c>
      <c r="AJ168" s="497" t="str">
        <f>IF(S168="","",VLOOKUP(S168,'G-3 Multipliers'!$A$2:$E$129,4,FALSE))</f>
        <v/>
      </c>
      <c r="AK168" s="506" t="str">
        <f t="shared" si="25"/>
        <v/>
      </c>
      <c r="AL168" s="506" t="str">
        <f t="shared" si="26"/>
        <v/>
      </c>
      <c r="AM168" s="539" t="str">
        <f>IFERROR(IF(F168="","",IF(AH168="Check Data ⚠","Check Data ⚠",VLOOKUP(AL168, 'G-3 Multipliers'!$P$2:$Q$6,2,FALSE))),"")</f>
        <v/>
      </c>
      <c r="AN168" s="512" t="str">
        <f t="shared" si="20"/>
        <v/>
      </c>
      <c r="AO168" s="238"/>
      <c r="AP168" s="239"/>
    </row>
    <row r="169" spans="1:42" x14ac:dyDescent="0.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c r="R169" s="237"/>
      <c r="S169" s="391" t="str">
        <f>IFERROR(INDEX('G-1 All Habitats'!$B$3:$B$129,MATCH(R169,'G-1 All Habitats'!$A$3:$A$129,0)),"")</f>
        <v/>
      </c>
      <c r="T169" s="497" t="str">
        <f t="shared" si="21"/>
        <v/>
      </c>
      <c r="U169" s="498" t="str">
        <f t="shared" si="22"/>
        <v/>
      </c>
      <c r="V169" s="536" t="str">
        <f t="shared" si="18"/>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19"/>
        <v/>
      </c>
      <c r="AE169" s="82"/>
      <c r="AF169" s="82"/>
      <c r="AG169" s="506" t="str">
        <f t="shared" si="23"/>
        <v/>
      </c>
      <c r="AH169" s="520" t="str">
        <f t="shared" si="24"/>
        <v/>
      </c>
      <c r="AI169" s="521" t="str">
        <f>IF(AH169="Check Data","Check Data",IFERROR(VLOOKUP(AH169,'G-4 Temporal multipliers'!$A$4:$C$36,3,FALSE),""))</f>
        <v/>
      </c>
      <c r="AJ169" s="497" t="str">
        <f>IF(S169="","",VLOOKUP(S169,'G-3 Multipliers'!$A$2:$E$129,4,FALSE))</f>
        <v/>
      </c>
      <c r="AK169" s="506" t="str">
        <f t="shared" si="25"/>
        <v/>
      </c>
      <c r="AL169" s="506" t="str">
        <f t="shared" si="26"/>
        <v/>
      </c>
      <c r="AM169" s="539" t="str">
        <f>IFERROR(IF(F169="","",IF(AH169="Check Data ⚠","Check Data ⚠",VLOOKUP(AL169, 'G-3 Multipliers'!$P$2:$Q$6,2,FALSE))),"")</f>
        <v/>
      </c>
      <c r="AN169" s="512" t="str">
        <f t="shared" si="20"/>
        <v/>
      </c>
      <c r="AO169" s="238"/>
      <c r="AP169" s="239"/>
    </row>
    <row r="170" spans="1:42" x14ac:dyDescent="0.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c r="R170" s="237"/>
      <c r="S170" s="391" t="str">
        <f>IFERROR(INDEX('G-1 All Habitats'!$B$3:$B$129,MATCH(R170,'G-1 All Habitats'!$A$3:$A$129,0)),"")</f>
        <v/>
      </c>
      <c r="T170" s="497" t="str">
        <f t="shared" si="21"/>
        <v/>
      </c>
      <c r="U170" s="498" t="str">
        <f t="shared" si="22"/>
        <v/>
      </c>
      <c r="V170" s="536" t="str">
        <f t="shared" si="18"/>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19"/>
        <v/>
      </c>
      <c r="AE170" s="82"/>
      <c r="AF170" s="82"/>
      <c r="AG170" s="506" t="str">
        <f t="shared" si="23"/>
        <v/>
      </c>
      <c r="AH170" s="520" t="str">
        <f t="shared" si="24"/>
        <v/>
      </c>
      <c r="AI170" s="521" t="str">
        <f>IF(AH170="Check Data","Check Data",IFERROR(VLOOKUP(AH170,'G-4 Temporal multipliers'!$A$4:$C$36,3,FALSE),""))</f>
        <v/>
      </c>
      <c r="AJ170" s="497" t="str">
        <f>IF(S170="","",VLOOKUP(S170,'G-3 Multipliers'!$A$2:$E$129,4,FALSE))</f>
        <v/>
      </c>
      <c r="AK170" s="506" t="str">
        <f t="shared" si="25"/>
        <v/>
      </c>
      <c r="AL170" s="506" t="str">
        <f t="shared" si="26"/>
        <v/>
      </c>
      <c r="AM170" s="539" t="str">
        <f>IFERROR(IF(F170="","",IF(AH170="Check Data ⚠","Check Data ⚠",VLOOKUP(AL170, 'G-3 Multipliers'!$P$2:$Q$6,2,FALSE))),"")</f>
        <v/>
      </c>
      <c r="AN170" s="512" t="str">
        <f t="shared" si="20"/>
        <v/>
      </c>
      <c r="AO170" s="238"/>
      <c r="AP170" s="239"/>
    </row>
    <row r="171" spans="1:42" x14ac:dyDescent="0.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c r="R171" s="237"/>
      <c r="S171" s="391" t="str">
        <f>IFERROR(INDEX('G-1 All Habitats'!$B$3:$B$129,MATCH(R171,'G-1 All Habitats'!$A$3:$A$129,0)),"")</f>
        <v/>
      </c>
      <c r="T171" s="497" t="str">
        <f t="shared" si="21"/>
        <v/>
      </c>
      <c r="U171" s="498" t="str">
        <f t="shared" si="22"/>
        <v/>
      </c>
      <c r="V171" s="536" t="str">
        <f t="shared" si="18"/>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19"/>
        <v/>
      </c>
      <c r="AE171" s="82"/>
      <c r="AF171" s="82"/>
      <c r="AG171" s="506" t="str">
        <f t="shared" si="23"/>
        <v/>
      </c>
      <c r="AH171" s="520" t="str">
        <f t="shared" si="24"/>
        <v/>
      </c>
      <c r="AI171" s="521" t="str">
        <f>IF(AH171="Check Data","Check Data",IFERROR(VLOOKUP(AH171,'G-4 Temporal multipliers'!$A$4:$C$36,3,FALSE),""))</f>
        <v/>
      </c>
      <c r="AJ171" s="497" t="str">
        <f>IF(S171="","",VLOOKUP(S171,'G-3 Multipliers'!$A$2:$E$129,4,FALSE))</f>
        <v/>
      </c>
      <c r="AK171" s="506" t="str">
        <f t="shared" si="25"/>
        <v/>
      </c>
      <c r="AL171" s="506" t="str">
        <f t="shared" si="26"/>
        <v/>
      </c>
      <c r="AM171" s="539" t="str">
        <f>IFERROR(IF(F171="","",IF(AH171="Check Data ⚠","Check Data ⚠",VLOOKUP(AL171, 'G-3 Multipliers'!$P$2:$Q$6,2,FALSE))),"")</f>
        <v/>
      </c>
      <c r="AN171" s="512" t="str">
        <f t="shared" si="20"/>
        <v/>
      </c>
      <c r="AO171" s="238"/>
      <c r="AP171" s="239"/>
    </row>
    <row r="172" spans="1:42" x14ac:dyDescent="0.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c r="R172" s="237"/>
      <c r="S172" s="391" t="str">
        <f>IFERROR(INDEX('G-1 All Habitats'!$B$3:$B$129,MATCH(R172,'G-1 All Habitats'!$A$3:$A$129,0)),"")</f>
        <v/>
      </c>
      <c r="T172" s="497" t="str">
        <f t="shared" si="21"/>
        <v/>
      </c>
      <c r="U172" s="498" t="str">
        <f t="shared" si="22"/>
        <v/>
      </c>
      <c r="V172" s="536" t="str">
        <f t="shared" si="18"/>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19"/>
        <v/>
      </c>
      <c r="AE172" s="82"/>
      <c r="AF172" s="82"/>
      <c r="AG172" s="506" t="str">
        <f t="shared" si="23"/>
        <v/>
      </c>
      <c r="AH172" s="520" t="str">
        <f t="shared" si="24"/>
        <v/>
      </c>
      <c r="AI172" s="521" t="str">
        <f>IF(AH172="Check Data","Check Data",IFERROR(VLOOKUP(AH172,'G-4 Temporal multipliers'!$A$4:$C$36,3,FALSE),""))</f>
        <v/>
      </c>
      <c r="AJ172" s="497" t="str">
        <f>IF(S172="","",VLOOKUP(S172,'G-3 Multipliers'!$A$2:$E$129,4,FALSE))</f>
        <v/>
      </c>
      <c r="AK172" s="506" t="str">
        <f t="shared" si="25"/>
        <v/>
      </c>
      <c r="AL172" s="506" t="str">
        <f t="shared" si="26"/>
        <v/>
      </c>
      <c r="AM172" s="539" t="str">
        <f>IFERROR(IF(F172="","",IF(AH172="Check Data ⚠","Check Data ⚠",VLOOKUP(AL172, 'G-3 Multipliers'!$P$2:$Q$6,2,FALSE))),"")</f>
        <v/>
      </c>
      <c r="AN172" s="512" t="str">
        <f t="shared" si="20"/>
        <v/>
      </c>
      <c r="AO172" s="238"/>
      <c r="AP172" s="239"/>
    </row>
    <row r="173" spans="1:42" x14ac:dyDescent="0.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c r="R173" s="237"/>
      <c r="S173" s="391" t="str">
        <f>IFERROR(INDEX('G-1 All Habitats'!$B$3:$B$129,MATCH(R173,'G-1 All Habitats'!$A$3:$A$129,0)),"")</f>
        <v/>
      </c>
      <c r="T173" s="497" t="str">
        <f t="shared" si="21"/>
        <v/>
      </c>
      <c r="U173" s="498" t="str">
        <f t="shared" si="22"/>
        <v/>
      </c>
      <c r="V173" s="536" t="str">
        <f t="shared" si="18"/>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19"/>
        <v/>
      </c>
      <c r="AE173" s="82"/>
      <c r="AF173" s="82"/>
      <c r="AG173" s="506" t="str">
        <f t="shared" si="23"/>
        <v/>
      </c>
      <c r="AH173" s="520" t="str">
        <f t="shared" si="24"/>
        <v/>
      </c>
      <c r="AI173" s="521" t="str">
        <f>IF(AH173="Check Data","Check Data",IFERROR(VLOOKUP(AH173,'G-4 Temporal multipliers'!$A$4:$C$36,3,FALSE),""))</f>
        <v/>
      </c>
      <c r="AJ173" s="497" t="str">
        <f>IF(S173="","",VLOOKUP(S173,'G-3 Multipliers'!$A$2:$E$129,4,FALSE))</f>
        <v/>
      </c>
      <c r="AK173" s="506" t="str">
        <f t="shared" si="25"/>
        <v/>
      </c>
      <c r="AL173" s="506" t="str">
        <f t="shared" si="26"/>
        <v/>
      </c>
      <c r="AM173" s="539" t="str">
        <f>IFERROR(IF(F173="","",IF(AH173="Check Data ⚠","Check Data ⚠",VLOOKUP(AL173, 'G-3 Multipliers'!$P$2:$Q$6,2,FALSE))),"")</f>
        <v/>
      </c>
      <c r="AN173" s="512" t="str">
        <f t="shared" si="20"/>
        <v/>
      </c>
      <c r="AO173" s="238"/>
      <c r="AP173" s="239"/>
    </row>
    <row r="174" spans="1:42" x14ac:dyDescent="0.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c r="R174" s="237"/>
      <c r="S174" s="391" t="str">
        <f>IFERROR(INDEX('G-1 All Habitats'!$B$3:$B$129,MATCH(R174,'G-1 All Habitats'!$A$3:$A$129,0)),"")</f>
        <v/>
      </c>
      <c r="T174" s="497" t="str">
        <f t="shared" si="21"/>
        <v/>
      </c>
      <c r="U174" s="498" t="str">
        <f t="shared" si="22"/>
        <v/>
      </c>
      <c r="V174" s="536" t="str">
        <f t="shared" si="18"/>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19"/>
        <v/>
      </c>
      <c r="AE174" s="82"/>
      <c r="AF174" s="82"/>
      <c r="AG174" s="506" t="str">
        <f t="shared" si="23"/>
        <v/>
      </c>
      <c r="AH174" s="520" t="str">
        <f t="shared" si="24"/>
        <v/>
      </c>
      <c r="AI174" s="521" t="str">
        <f>IF(AH174="Check Data","Check Data",IFERROR(VLOOKUP(AH174,'G-4 Temporal multipliers'!$A$4:$C$36,3,FALSE),""))</f>
        <v/>
      </c>
      <c r="AJ174" s="497" t="str">
        <f>IF(S174="","",VLOOKUP(S174,'G-3 Multipliers'!$A$2:$E$129,4,FALSE))</f>
        <v/>
      </c>
      <c r="AK174" s="506" t="str">
        <f t="shared" si="25"/>
        <v/>
      </c>
      <c r="AL174" s="506" t="str">
        <f t="shared" si="26"/>
        <v/>
      </c>
      <c r="AM174" s="539" t="str">
        <f>IFERROR(IF(F174="","",IF(AH174="Check Data ⚠","Check Data ⚠",VLOOKUP(AL174, 'G-3 Multipliers'!$P$2:$Q$6,2,FALSE))),"")</f>
        <v/>
      </c>
      <c r="AN174" s="512" t="str">
        <f t="shared" si="20"/>
        <v/>
      </c>
      <c r="AO174" s="238"/>
      <c r="AP174" s="239"/>
    </row>
    <row r="175" spans="1:42" x14ac:dyDescent="0.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c r="R175" s="237"/>
      <c r="S175" s="391" t="str">
        <f>IFERROR(INDEX('G-1 All Habitats'!$B$3:$B$129,MATCH(R175,'G-1 All Habitats'!$A$3:$A$129,0)),"")</f>
        <v/>
      </c>
      <c r="T175" s="497" t="str">
        <f t="shared" si="21"/>
        <v/>
      </c>
      <c r="U175" s="498" t="str">
        <f t="shared" si="22"/>
        <v/>
      </c>
      <c r="V175" s="536" t="str">
        <f t="shared" si="18"/>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19"/>
        <v/>
      </c>
      <c r="AE175" s="82"/>
      <c r="AF175" s="82"/>
      <c r="AG175" s="506" t="str">
        <f t="shared" si="23"/>
        <v/>
      </c>
      <c r="AH175" s="520" t="str">
        <f t="shared" si="24"/>
        <v/>
      </c>
      <c r="AI175" s="521" t="str">
        <f>IF(AH175="Check Data","Check Data",IFERROR(VLOOKUP(AH175,'G-4 Temporal multipliers'!$A$4:$C$36,3,FALSE),""))</f>
        <v/>
      </c>
      <c r="AJ175" s="497" t="str">
        <f>IF(S175="","",VLOOKUP(S175,'G-3 Multipliers'!$A$2:$E$129,4,FALSE))</f>
        <v/>
      </c>
      <c r="AK175" s="506" t="str">
        <f t="shared" si="25"/>
        <v/>
      </c>
      <c r="AL175" s="506" t="str">
        <f t="shared" si="26"/>
        <v/>
      </c>
      <c r="AM175" s="539" t="str">
        <f>IFERROR(IF(F175="","",IF(AH175="Check Data ⚠","Check Data ⚠",VLOOKUP(AL175, 'G-3 Multipliers'!$P$2:$Q$6,2,FALSE))),"")</f>
        <v/>
      </c>
      <c r="AN175" s="512" t="str">
        <f t="shared" si="20"/>
        <v/>
      </c>
      <c r="AO175" s="238"/>
      <c r="AP175" s="239"/>
    </row>
    <row r="176" spans="1:42" x14ac:dyDescent="0.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c r="R176" s="237"/>
      <c r="S176" s="391" t="str">
        <f>IFERROR(INDEX('G-1 All Habitats'!$B$3:$B$129,MATCH(R176,'G-1 All Habitats'!$A$3:$A$129,0)),"")</f>
        <v/>
      </c>
      <c r="T176" s="497" t="str">
        <f t="shared" si="21"/>
        <v/>
      </c>
      <c r="U176" s="498" t="str">
        <f t="shared" si="22"/>
        <v/>
      </c>
      <c r="V176" s="536" t="str">
        <f t="shared" si="18"/>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19"/>
        <v/>
      </c>
      <c r="AE176" s="82"/>
      <c r="AF176" s="82"/>
      <c r="AG176" s="506" t="str">
        <f t="shared" si="23"/>
        <v/>
      </c>
      <c r="AH176" s="520" t="str">
        <f t="shared" si="24"/>
        <v/>
      </c>
      <c r="AI176" s="521" t="str">
        <f>IF(AH176="Check Data","Check Data",IFERROR(VLOOKUP(AH176,'G-4 Temporal multipliers'!$A$4:$C$36,3,FALSE),""))</f>
        <v/>
      </c>
      <c r="AJ176" s="497" t="str">
        <f>IF(S176="","",VLOOKUP(S176,'G-3 Multipliers'!$A$2:$E$129,4,FALSE))</f>
        <v/>
      </c>
      <c r="AK176" s="506" t="str">
        <f t="shared" si="25"/>
        <v/>
      </c>
      <c r="AL176" s="506" t="str">
        <f t="shared" si="26"/>
        <v/>
      </c>
      <c r="AM176" s="539" t="str">
        <f>IFERROR(IF(F176="","",IF(AH176="Check Data ⚠","Check Data ⚠",VLOOKUP(AL176, 'G-3 Multipliers'!$P$2:$Q$6,2,FALSE))),"")</f>
        <v/>
      </c>
      <c r="AN176" s="512" t="str">
        <f t="shared" si="20"/>
        <v/>
      </c>
      <c r="AO176" s="238"/>
      <c r="AP176" s="239"/>
    </row>
    <row r="177" spans="1:42" x14ac:dyDescent="0.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c r="R177" s="237"/>
      <c r="S177" s="391" t="str">
        <f>IFERROR(INDEX('G-1 All Habitats'!$B$3:$B$129,MATCH(R177,'G-1 All Habitats'!$A$3:$A$129,0)),"")</f>
        <v/>
      </c>
      <c r="T177" s="497" t="str">
        <f t="shared" si="21"/>
        <v/>
      </c>
      <c r="U177" s="498" t="str">
        <f t="shared" si="22"/>
        <v/>
      </c>
      <c r="V177" s="536" t="str">
        <f t="shared" si="18"/>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19"/>
        <v/>
      </c>
      <c r="AE177" s="82"/>
      <c r="AF177" s="82"/>
      <c r="AG177" s="506" t="str">
        <f t="shared" si="23"/>
        <v/>
      </c>
      <c r="AH177" s="520" t="str">
        <f t="shared" si="24"/>
        <v/>
      </c>
      <c r="AI177" s="521" t="str">
        <f>IF(AH177="Check Data","Check Data",IFERROR(VLOOKUP(AH177,'G-4 Temporal multipliers'!$A$4:$C$36,3,FALSE),""))</f>
        <v/>
      </c>
      <c r="AJ177" s="497" t="str">
        <f>IF(S177="","",VLOOKUP(S177,'G-3 Multipliers'!$A$2:$E$129,4,FALSE))</f>
        <v/>
      </c>
      <c r="AK177" s="506" t="str">
        <f t="shared" si="25"/>
        <v/>
      </c>
      <c r="AL177" s="506" t="str">
        <f t="shared" si="26"/>
        <v/>
      </c>
      <c r="AM177" s="539" t="str">
        <f>IFERROR(IF(F177="","",IF(AH177="Check Data ⚠","Check Data ⚠",VLOOKUP(AL177, 'G-3 Multipliers'!$P$2:$Q$6,2,FALSE))),"")</f>
        <v/>
      </c>
      <c r="AN177" s="512" t="str">
        <f t="shared" si="20"/>
        <v/>
      </c>
      <c r="AO177" s="238"/>
      <c r="AP177" s="239"/>
    </row>
    <row r="178" spans="1:42" x14ac:dyDescent="0.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c r="R178" s="237"/>
      <c r="S178" s="391" t="str">
        <f>IFERROR(INDEX('G-1 All Habitats'!$B$3:$B$129,MATCH(R178,'G-1 All Habitats'!$A$3:$A$129,0)),"")</f>
        <v/>
      </c>
      <c r="T178" s="497" t="str">
        <f t="shared" si="21"/>
        <v/>
      </c>
      <c r="U178" s="498" t="str">
        <f t="shared" si="22"/>
        <v/>
      </c>
      <c r="V178" s="536" t="str">
        <f t="shared" si="18"/>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19"/>
        <v/>
      </c>
      <c r="AE178" s="82"/>
      <c r="AF178" s="82"/>
      <c r="AG178" s="506" t="str">
        <f t="shared" si="23"/>
        <v/>
      </c>
      <c r="AH178" s="520" t="str">
        <f t="shared" si="24"/>
        <v/>
      </c>
      <c r="AI178" s="521" t="str">
        <f>IF(AH178="Check Data","Check Data",IFERROR(VLOOKUP(AH178,'G-4 Temporal multipliers'!$A$4:$C$36,3,FALSE),""))</f>
        <v/>
      </c>
      <c r="AJ178" s="497" t="str">
        <f>IF(S178="","",VLOOKUP(S178,'G-3 Multipliers'!$A$2:$E$129,4,FALSE))</f>
        <v/>
      </c>
      <c r="AK178" s="506" t="str">
        <f t="shared" si="25"/>
        <v/>
      </c>
      <c r="AL178" s="506" t="str">
        <f t="shared" si="26"/>
        <v/>
      </c>
      <c r="AM178" s="539" t="str">
        <f>IFERROR(IF(F178="","",IF(AH178="Check Data ⚠","Check Data ⚠",VLOOKUP(AL178, 'G-3 Multipliers'!$P$2:$Q$6,2,FALSE))),"")</f>
        <v/>
      </c>
      <c r="AN178" s="512" t="str">
        <f t="shared" si="20"/>
        <v/>
      </c>
      <c r="AO178" s="238"/>
      <c r="AP178" s="239"/>
    </row>
    <row r="179" spans="1:42" x14ac:dyDescent="0.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c r="R179" s="237"/>
      <c r="S179" s="391" t="str">
        <f>IFERROR(INDEX('G-1 All Habitats'!$B$3:$B$129,MATCH(R179,'G-1 All Habitats'!$A$3:$A$129,0)),"")</f>
        <v/>
      </c>
      <c r="T179" s="497" t="str">
        <f t="shared" si="21"/>
        <v/>
      </c>
      <c r="U179" s="498" t="str">
        <f t="shared" si="22"/>
        <v/>
      </c>
      <c r="V179" s="536" t="str">
        <f t="shared" si="18"/>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19"/>
        <v/>
      </c>
      <c r="AE179" s="82"/>
      <c r="AF179" s="82"/>
      <c r="AG179" s="506" t="str">
        <f t="shared" si="23"/>
        <v/>
      </c>
      <c r="AH179" s="520" t="str">
        <f t="shared" si="24"/>
        <v/>
      </c>
      <c r="AI179" s="521" t="str">
        <f>IF(AH179="Check Data","Check Data",IFERROR(VLOOKUP(AH179,'G-4 Temporal multipliers'!$A$4:$C$36,3,FALSE),""))</f>
        <v/>
      </c>
      <c r="AJ179" s="497" t="str">
        <f>IF(S179="","",VLOOKUP(S179,'G-3 Multipliers'!$A$2:$E$129,4,FALSE))</f>
        <v/>
      </c>
      <c r="AK179" s="506" t="str">
        <f t="shared" si="25"/>
        <v/>
      </c>
      <c r="AL179" s="506" t="str">
        <f t="shared" si="26"/>
        <v/>
      </c>
      <c r="AM179" s="539" t="str">
        <f>IFERROR(IF(F179="","",IF(AH179="Check Data ⚠","Check Data ⚠",VLOOKUP(AL179, 'G-3 Multipliers'!$P$2:$Q$6,2,FALSE))),"")</f>
        <v/>
      </c>
      <c r="AN179" s="512" t="str">
        <f t="shared" si="20"/>
        <v/>
      </c>
      <c r="AO179" s="238"/>
      <c r="AP179" s="239"/>
    </row>
    <row r="180" spans="1:42" x14ac:dyDescent="0.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c r="R180" s="237"/>
      <c r="S180" s="391" t="str">
        <f>IFERROR(INDEX('G-1 All Habitats'!$B$3:$B$129,MATCH(R180,'G-1 All Habitats'!$A$3:$A$129,0)),"")</f>
        <v/>
      </c>
      <c r="T180" s="497" t="str">
        <f t="shared" si="21"/>
        <v/>
      </c>
      <c r="U180" s="498" t="str">
        <f t="shared" si="22"/>
        <v/>
      </c>
      <c r="V180" s="536" t="str">
        <f t="shared" si="18"/>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19"/>
        <v/>
      </c>
      <c r="AE180" s="82"/>
      <c r="AF180" s="82"/>
      <c r="AG180" s="506" t="str">
        <f t="shared" si="23"/>
        <v/>
      </c>
      <c r="AH180" s="520" t="str">
        <f t="shared" si="24"/>
        <v/>
      </c>
      <c r="AI180" s="521" t="str">
        <f>IF(AH180="Check Data","Check Data",IFERROR(VLOOKUP(AH180,'G-4 Temporal multipliers'!$A$4:$C$36,3,FALSE),""))</f>
        <v/>
      </c>
      <c r="AJ180" s="497" t="str">
        <f>IF(S180="","",VLOOKUP(S180,'G-3 Multipliers'!$A$2:$E$129,4,FALSE))</f>
        <v/>
      </c>
      <c r="AK180" s="506" t="str">
        <f t="shared" si="25"/>
        <v/>
      </c>
      <c r="AL180" s="506" t="str">
        <f t="shared" si="26"/>
        <v/>
      </c>
      <c r="AM180" s="539" t="str">
        <f>IFERROR(IF(F180="","",IF(AH180="Check Data ⚠","Check Data ⚠",VLOOKUP(AL180, 'G-3 Multipliers'!$P$2:$Q$6,2,FALSE))),"")</f>
        <v/>
      </c>
      <c r="AN180" s="512" t="str">
        <f t="shared" si="20"/>
        <v/>
      </c>
      <c r="AO180" s="238"/>
      <c r="AP180" s="239"/>
    </row>
    <row r="181" spans="1:42" x14ac:dyDescent="0.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c r="R181" s="237"/>
      <c r="S181" s="391" t="str">
        <f>IFERROR(INDEX('G-1 All Habitats'!$B$3:$B$129,MATCH(R181,'G-1 All Habitats'!$A$3:$A$129,0)),"")</f>
        <v/>
      </c>
      <c r="T181" s="497" t="str">
        <f t="shared" si="21"/>
        <v/>
      </c>
      <c r="U181" s="498" t="str">
        <f t="shared" si="22"/>
        <v/>
      </c>
      <c r="V181" s="536" t="str">
        <f t="shared" si="18"/>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19"/>
        <v/>
      </c>
      <c r="AE181" s="82"/>
      <c r="AF181" s="82"/>
      <c r="AG181" s="506" t="str">
        <f t="shared" si="23"/>
        <v/>
      </c>
      <c r="AH181" s="520" t="str">
        <f t="shared" si="24"/>
        <v/>
      </c>
      <c r="AI181" s="521" t="str">
        <f>IF(AH181="Check Data","Check Data",IFERROR(VLOOKUP(AH181,'G-4 Temporal multipliers'!$A$4:$C$36,3,FALSE),""))</f>
        <v/>
      </c>
      <c r="AJ181" s="497" t="str">
        <f>IF(S181="","",VLOOKUP(S181,'G-3 Multipliers'!$A$2:$E$129,4,FALSE))</f>
        <v/>
      </c>
      <c r="AK181" s="506" t="str">
        <f t="shared" si="25"/>
        <v/>
      </c>
      <c r="AL181" s="506" t="str">
        <f t="shared" si="26"/>
        <v/>
      </c>
      <c r="AM181" s="539" t="str">
        <f>IFERROR(IF(F181="","",IF(AH181="Check Data ⚠","Check Data ⚠",VLOOKUP(AL181, 'G-3 Multipliers'!$P$2:$Q$6,2,FALSE))),"")</f>
        <v/>
      </c>
      <c r="AN181" s="512" t="str">
        <f t="shared" si="20"/>
        <v/>
      </c>
      <c r="AO181" s="238"/>
      <c r="AP181" s="239"/>
    </row>
    <row r="182" spans="1:42" x14ac:dyDescent="0.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c r="R182" s="237"/>
      <c r="S182" s="391" t="str">
        <f>IFERROR(INDEX('G-1 All Habitats'!$B$3:$B$129,MATCH(R182,'G-1 All Habitats'!$A$3:$A$129,0)),"")</f>
        <v/>
      </c>
      <c r="T182" s="497" t="str">
        <f t="shared" si="21"/>
        <v/>
      </c>
      <c r="U182" s="498" t="str">
        <f t="shared" si="22"/>
        <v/>
      </c>
      <c r="V182" s="536" t="str">
        <f t="shared" si="18"/>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19"/>
        <v/>
      </c>
      <c r="AE182" s="82"/>
      <c r="AF182" s="82"/>
      <c r="AG182" s="506" t="str">
        <f t="shared" si="23"/>
        <v/>
      </c>
      <c r="AH182" s="520" t="str">
        <f t="shared" si="24"/>
        <v/>
      </c>
      <c r="AI182" s="521" t="str">
        <f>IF(AH182="Check Data","Check Data",IFERROR(VLOOKUP(AH182,'G-4 Temporal multipliers'!$A$4:$C$36,3,FALSE),""))</f>
        <v/>
      </c>
      <c r="AJ182" s="497" t="str">
        <f>IF(S182="","",VLOOKUP(S182,'G-3 Multipliers'!$A$2:$E$129,4,FALSE))</f>
        <v/>
      </c>
      <c r="AK182" s="506" t="str">
        <f t="shared" si="25"/>
        <v/>
      </c>
      <c r="AL182" s="506" t="str">
        <f t="shared" si="26"/>
        <v/>
      </c>
      <c r="AM182" s="539" t="str">
        <f>IFERROR(IF(F182="","",IF(AH182="Check Data ⚠","Check Data ⚠",VLOOKUP(AL182, 'G-3 Multipliers'!$P$2:$Q$6,2,FALSE))),"")</f>
        <v/>
      </c>
      <c r="AN182" s="512" t="str">
        <f t="shared" si="20"/>
        <v/>
      </c>
      <c r="AO182" s="238"/>
      <c r="AP182" s="239"/>
    </row>
    <row r="183" spans="1:42" x14ac:dyDescent="0.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c r="R183" s="237"/>
      <c r="S183" s="391" t="str">
        <f>IFERROR(INDEX('G-1 All Habitats'!$B$3:$B$129,MATCH(R183,'G-1 All Habitats'!$A$3:$A$129,0)),"")</f>
        <v/>
      </c>
      <c r="T183" s="497" t="str">
        <f t="shared" si="21"/>
        <v/>
      </c>
      <c r="U183" s="498" t="str">
        <f t="shared" si="22"/>
        <v/>
      </c>
      <c r="V183" s="536" t="str">
        <f t="shared" si="18"/>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19"/>
        <v/>
      </c>
      <c r="AE183" s="82"/>
      <c r="AF183" s="82"/>
      <c r="AG183" s="506" t="str">
        <f t="shared" si="23"/>
        <v/>
      </c>
      <c r="AH183" s="520" t="str">
        <f t="shared" si="24"/>
        <v/>
      </c>
      <c r="AI183" s="521" t="str">
        <f>IF(AH183="Check Data","Check Data",IFERROR(VLOOKUP(AH183,'G-4 Temporal multipliers'!$A$4:$C$36,3,FALSE),""))</f>
        <v/>
      </c>
      <c r="AJ183" s="497" t="str">
        <f>IF(S183="","",VLOOKUP(S183,'G-3 Multipliers'!$A$2:$E$129,4,FALSE))</f>
        <v/>
      </c>
      <c r="AK183" s="506" t="str">
        <f t="shared" si="25"/>
        <v/>
      </c>
      <c r="AL183" s="506" t="str">
        <f t="shared" si="26"/>
        <v/>
      </c>
      <c r="AM183" s="539" t="str">
        <f>IFERROR(IF(F183="","",IF(AH183="Check Data ⚠","Check Data ⚠",VLOOKUP(AL183, 'G-3 Multipliers'!$P$2:$Q$6,2,FALSE))),"")</f>
        <v/>
      </c>
      <c r="AN183" s="512" t="str">
        <f t="shared" si="20"/>
        <v/>
      </c>
      <c r="AO183" s="238"/>
      <c r="AP183" s="239"/>
    </row>
    <row r="184" spans="1:42" x14ac:dyDescent="0.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c r="R184" s="237"/>
      <c r="S184" s="391" t="str">
        <f>IFERROR(INDEX('G-1 All Habitats'!$B$3:$B$129,MATCH(R184,'G-1 All Habitats'!$A$3:$A$129,0)),"")</f>
        <v/>
      </c>
      <c r="T184" s="497" t="str">
        <f t="shared" si="21"/>
        <v/>
      </c>
      <c r="U184" s="498" t="str">
        <f t="shared" si="22"/>
        <v/>
      </c>
      <c r="V184" s="536" t="str">
        <f t="shared" si="18"/>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19"/>
        <v/>
      </c>
      <c r="AE184" s="82"/>
      <c r="AF184" s="82"/>
      <c r="AG184" s="506" t="str">
        <f t="shared" si="23"/>
        <v/>
      </c>
      <c r="AH184" s="520" t="str">
        <f t="shared" si="24"/>
        <v/>
      </c>
      <c r="AI184" s="521" t="str">
        <f>IF(AH184="Check Data","Check Data",IFERROR(VLOOKUP(AH184,'G-4 Temporal multipliers'!$A$4:$C$36,3,FALSE),""))</f>
        <v/>
      </c>
      <c r="AJ184" s="497" t="str">
        <f>IF(S184="","",VLOOKUP(S184,'G-3 Multipliers'!$A$2:$E$129,4,FALSE))</f>
        <v/>
      </c>
      <c r="AK184" s="506" t="str">
        <f t="shared" si="25"/>
        <v/>
      </c>
      <c r="AL184" s="506" t="str">
        <f t="shared" si="26"/>
        <v/>
      </c>
      <c r="AM184" s="539" t="str">
        <f>IFERROR(IF(F184="","",IF(AH184="Check Data ⚠","Check Data ⚠",VLOOKUP(AL184, 'G-3 Multipliers'!$P$2:$Q$6,2,FALSE))),"")</f>
        <v/>
      </c>
      <c r="AN184" s="512" t="str">
        <f t="shared" si="20"/>
        <v/>
      </c>
      <c r="AO184" s="238"/>
      <c r="AP184" s="239"/>
    </row>
    <row r="185" spans="1:42" x14ac:dyDescent="0.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c r="R185" s="237"/>
      <c r="S185" s="391" t="str">
        <f>IFERROR(INDEX('G-1 All Habitats'!$B$3:$B$129,MATCH(R185,'G-1 All Habitats'!$A$3:$A$129,0)),"")</f>
        <v/>
      </c>
      <c r="T185" s="497" t="str">
        <f t="shared" si="21"/>
        <v/>
      </c>
      <c r="U185" s="498" t="str">
        <f t="shared" si="22"/>
        <v/>
      </c>
      <c r="V185" s="536" t="str">
        <f t="shared" si="18"/>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19"/>
        <v/>
      </c>
      <c r="AE185" s="82"/>
      <c r="AF185" s="82"/>
      <c r="AG185" s="506" t="str">
        <f t="shared" si="23"/>
        <v/>
      </c>
      <c r="AH185" s="520" t="str">
        <f t="shared" si="24"/>
        <v/>
      </c>
      <c r="AI185" s="521" t="str">
        <f>IF(AH185="Check Data","Check Data",IFERROR(VLOOKUP(AH185,'G-4 Temporal multipliers'!$A$4:$C$36,3,FALSE),""))</f>
        <v/>
      </c>
      <c r="AJ185" s="497" t="str">
        <f>IF(S185="","",VLOOKUP(S185,'G-3 Multipliers'!$A$2:$E$129,4,FALSE))</f>
        <v/>
      </c>
      <c r="AK185" s="506" t="str">
        <f t="shared" si="25"/>
        <v/>
      </c>
      <c r="AL185" s="506" t="str">
        <f t="shared" si="26"/>
        <v/>
      </c>
      <c r="AM185" s="539" t="str">
        <f>IFERROR(IF(F185="","",IF(AH185="Check Data ⚠","Check Data ⚠",VLOOKUP(AL185, 'G-3 Multipliers'!$P$2:$Q$6,2,FALSE))),"")</f>
        <v/>
      </c>
      <c r="AN185" s="512" t="str">
        <f t="shared" si="20"/>
        <v/>
      </c>
      <c r="AO185" s="238"/>
      <c r="AP185" s="239"/>
    </row>
    <row r="186" spans="1:42" x14ac:dyDescent="0.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c r="R186" s="237"/>
      <c r="S186" s="391" t="str">
        <f>IFERROR(INDEX('G-1 All Habitats'!$B$3:$B$129,MATCH(R186,'G-1 All Habitats'!$A$3:$A$129,0)),"")</f>
        <v/>
      </c>
      <c r="T186" s="497" t="str">
        <f t="shared" si="21"/>
        <v/>
      </c>
      <c r="U186" s="498" t="str">
        <f t="shared" si="22"/>
        <v/>
      </c>
      <c r="V186" s="536" t="str">
        <f t="shared" si="18"/>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19"/>
        <v/>
      </c>
      <c r="AE186" s="82"/>
      <c r="AF186" s="82"/>
      <c r="AG186" s="506" t="str">
        <f t="shared" si="23"/>
        <v/>
      </c>
      <c r="AH186" s="520" t="str">
        <f t="shared" si="24"/>
        <v/>
      </c>
      <c r="AI186" s="521" t="str">
        <f>IF(AH186="Check Data","Check Data",IFERROR(VLOOKUP(AH186,'G-4 Temporal multipliers'!$A$4:$C$36,3,FALSE),""))</f>
        <v/>
      </c>
      <c r="AJ186" s="497" t="str">
        <f>IF(S186="","",VLOOKUP(S186,'G-3 Multipliers'!$A$2:$E$129,4,FALSE))</f>
        <v/>
      </c>
      <c r="AK186" s="506" t="str">
        <f t="shared" si="25"/>
        <v/>
      </c>
      <c r="AL186" s="506" t="str">
        <f t="shared" si="26"/>
        <v/>
      </c>
      <c r="AM186" s="539" t="str">
        <f>IFERROR(IF(F186="","",IF(AH186="Check Data ⚠","Check Data ⚠",VLOOKUP(AL186, 'G-3 Multipliers'!$P$2:$Q$6,2,FALSE))),"")</f>
        <v/>
      </c>
      <c r="AN186" s="512" t="str">
        <f t="shared" si="20"/>
        <v/>
      </c>
      <c r="AO186" s="238"/>
      <c r="AP186" s="239"/>
    </row>
    <row r="187" spans="1:42" x14ac:dyDescent="0.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c r="R187" s="237"/>
      <c r="S187" s="391" t="str">
        <f>IFERROR(INDEX('G-1 All Habitats'!$B$3:$B$129,MATCH(R187,'G-1 All Habitats'!$A$3:$A$129,0)),"")</f>
        <v/>
      </c>
      <c r="T187" s="497" t="str">
        <f t="shared" si="21"/>
        <v/>
      </c>
      <c r="U187" s="498" t="str">
        <f t="shared" si="22"/>
        <v/>
      </c>
      <c r="V187" s="536" t="str">
        <f t="shared" si="18"/>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19"/>
        <v/>
      </c>
      <c r="AE187" s="82"/>
      <c r="AF187" s="82"/>
      <c r="AG187" s="506" t="str">
        <f t="shared" si="23"/>
        <v/>
      </c>
      <c r="AH187" s="520" t="str">
        <f t="shared" si="24"/>
        <v/>
      </c>
      <c r="AI187" s="521" t="str">
        <f>IF(AH187="Check Data","Check Data",IFERROR(VLOOKUP(AH187,'G-4 Temporal multipliers'!$A$4:$C$36,3,FALSE),""))</f>
        <v/>
      </c>
      <c r="AJ187" s="497" t="str">
        <f>IF(S187="","",VLOOKUP(S187,'G-3 Multipliers'!$A$2:$E$129,4,FALSE))</f>
        <v/>
      </c>
      <c r="AK187" s="506" t="str">
        <f t="shared" si="25"/>
        <v/>
      </c>
      <c r="AL187" s="506" t="str">
        <f t="shared" si="26"/>
        <v/>
      </c>
      <c r="AM187" s="539" t="str">
        <f>IFERROR(IF(F187="","",IF(AH187="Check Data ⚠","Check Data ⚠",VLOOKUP(AL187, 'G-3 Multipliers'!$P$2:$Q$6,2,FALSE))),"")</f>
        <v/>
      </c>
      <c r="AN187" s="512" t="str">
        <f t="shared" si="20"/>
        <v/>
      </c>
      <c r="AO187" s="238"/>
      <c r="AP187" s="239"/>
    </row>
    <row r="188" spans="1:42" x14ac:dyDescent="0.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c r="R188" s="237"/>
      <c r="S188" s="391" t="str">
        <f>IFERROR(INDEX('G-1 All Habitats'!$B$3:$B$129,MATCH(R188,'G-1 All Habitats'!$A$3:$A$129,0)),"")</f>
        <v/>
      </c>
      <c r="T188" s="497" t="str">
        <f t="shared" si="21"/>
        <v/>
      </c>
      <c r="U188" s="498" t="str">
        <f t="shared" si="22"/>
        <v/>
      </c>
      <c r="V188" s="536" t="str">
        <f t="shared" si="18"/>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19"/>
        <v/>
      </c>
      <c r="AE188" s="82"/>
      <c r="AF188" s="82"/>
      <c r="AG188" s="506" t="str">
        <f t="shared" si="23"/>
        <v/>
      </c>
      <c r="AH188" s="520" t="str">
        <f t="shared" si="24"/>
        <v/>
      </c>
      <c r="AI188" s="521" t="str">
        <f>IF(AH188="Check Data","Check Data",IFERROR(VLOOKUP(AH188,'G-4 Temporal multipliers'!$A$4:$C$36,3,FALSE),""))</f>
        <v/>
      </c>
      <c r="AJ188" s="497" t="str">
        <f>IF(S188="","",VLOOKUP(S188,'G-3 Multipliers'!$A$2:$E$129,4,FALSE))</f>
        <v/>
      </c>
      <c r="AK188" s="506" t="str">
        <f t="shared" si="25"/>
        <v/>
      </c>
      <c r="AL188" s="506" t="str">
        <f t="shared" si="26"/>
        <v/>
      </c>
      <c r="AM188" s="539" t="str">
        <f>IFERROR(IF(F188="","",IF(AH188="Check Data ⚠","Check Data ⚠",VLOOKUP(AL188, 'G-3 Multipliers'!$P$2:$Q$6,2,FALSE))),"")</f>
        <v/>
      </c>
      <c r="AN188" s="512" t="str">
        <f t="shared" si="20"/>
        <v/>
      </c>
      <c r="AO188" s="238"/>
      <c r="AP188" s="239"/>
    </row>
    <row r="189" spans="1:42" x14ac:dyDescent="0.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c r="R189" s="237"/>
      <c r="S189" s="391" t="str">
        <f>IFERROR(INDEX('G-1 All Habitats'!$B$3:$B$129,MATCH(R189,'G-1 All Habitats'!$A$3:$A$129,0)),"")</f>
        <v/>
      </c>
      <c r="T189" s="497" t="str">
        <f t="shared" si="21"/>
        <v/>
      </c>
      <c r="U189" s="498" t="str">
        <f t="shared" si="22"/>
        <v/>
      </c>
      <c r="V189" s="536" t="str">
        <f t="shared" si="18"/>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19"/>
        <v/>
      </c>
      <c r="AE189" s="82"/>
      <c r="AF189" s="82"/>
      <c r="AG189" s="506" t="str">
        <f t="shared" si="23"/>
        <v/>
      </c>
      <c r="AH189" s="520" t="str">
        <f t="shared" si="24"/>
        <v/>
      </c>
      <c r="AI189" s="521" t="str">
        <f>IF(AH189="Check Data","Check Data",IFERROR(VLOOKUP(AH189,'G-4 Temporal multipliers'!$A$4:$C$36,3,FALSE),""))</f>
        <v/>
      </c>
      <c r="AJ189" s="497" t="str">
        <f>IF(S189="","",VLOOKUP(S189,'G-3 Multipliers'!$A$2:$E$129,4,FALSE))</f>
        <v/>
      </c>
      <c r="AK189" s="506" t="str">
        <f t="shared" si="25"/>
        <v/>
      </c>
      <c r="AL189" s="506" t="str">
        <f t="shared" si="26"/>
        <v/>
      </c>
      <c r="AM189" s="539" t="str">
        <f>IFERROR(IF(F189="","",IF(AH189="Check Data ⚠","Check Data ⚠",VLOOKUP(AL189, 'G-3 Multipliers'!$P$2:$Q$6,2,FALSE))),"")</f>
        <v/>
      </c>
      <c r="AN189" s="512" t="str">
        <f t="shared" si="20"/>
        <v/>
      </c>
      <c r="AO189" s="238"/>
      <c r="AP189" s="239"/>
    </row>
    <row r="190" spans="1:42" x14ac:dyDescent="0.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c r="R190" s="237"/>
      <c r="S190" s="391" t="str">
        <f>IFERROR(INDEX('G-1 All Habitats'!$B$3:$B$129,MATCH(R190,'G-1 All Habitats'!$A$3:$A$129,0)),"")</f>
        <v/>
      </c>
      <c r="T190" s="497" t="str">
        <f t="shared" si="21"/>
        <v/>
      </c>
      <c r="U190" s="498" t="str">
        <f t="shared" si="22"/>
        <v/>
      </c>
      <c r="V190" s="536" t="str">
        <f t="shared" si="18"/>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19"/>
        <v/>
      </c>
      <c r="AE190" s="82"/>
      <c r="AF190" s="82"/>
      <c r="AG190" s="506" t="str">
        <f t="shared" si="23"/>
        <v/>
      </c>
      <c r="AH190" s="520" t="str">
        <f t="shared" si="24"/>
        <v/>
      </c>
      <c r="AI190" s="521" t="str">
        <f>IF(AH190="Check Data","Check Data",IFERROR(VLOOKUP(AH190,'G-4 Temporal multipliers'!$A$4:$C$36,3,FALSE),""))</f>
        <v/>
      </c>
      <c r="AJ190" s="497" t="str">
        <f>IF(S190="","",VLOOKUP(S190,'G-3 Multipliers'!$A$2:$E$129,4,FALSE))</f>
        <v/>
      </c>
      <c r="AK190" s="506" t="str">
        <f t="shared" si="25"/>
        <v/>
      </c>
      <c r="AL190" s="506" t="str">
        <f t="shared" si="26"/>
        <v/>
      </c>
      <c r="AM190" s="539" t="str">
        <f>IFERROR(IF(F190="","",IF(AH190="Check Data ⚠","Check Data ⚠",VLOOKUP(AL190, 'G-3 Multipliers'!$P$2:$Q$6,2,FALSE))),"")</f>
        <v/>
      </c>
      <c r="AN190" s="512" t="str">
        <f t="shared" si="20"/>
        <v/>
      </c>
      <c r="AO190" s="238"/>
      <c r="AP190" s="239"/>
    </row>
    <row r="191" spans="1:42" x14ac:dyDescent="0.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c r="R191" s="237"/>
      <c r="S191" s="391" t="str">
        <f>IFERROR(INDEX('G-1 All Habitats'!$B$3:$B$129,MATCH(R191,'G-1 All Habitats'!$A$3:$A$129,0)),"")</f>
        <v/>
      </c>
      <c r="T191" s="497" t="str">
        <f t="shared" si="21"/>
        <v/>
      </c>
      <c r="U191" s="498" t="str">
        <f t="shared" si="22"/>
        <v/>
      </c>
      <c r="V191" s="536" t="str">
        <f t="shared" si="18"/>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19"/>
        <v/>
      </c>
      <c r="AE191" s="82"/>
      <c r="AF191" s="82"/>
      <c r="AG191" s="506" t="str">
        <f t="shared" si="23"/>
        <v/>
      </c>
      <c r="AH191" s="520" t="str">
        <f t="shared" si="24"/>
        <v/>
      </c>
      <c r="AI191" s="521" t="str">
        <f>IF(AH191="Check Data","Check Data",IFERROR(VLOOKUP(AH191,'G-4 Temporal multipliers'!$A$4:$C$36,3,FALSE),""))</f>
        <v/>
      </c>
      <c r="AJ191" s="497" t="str">
        <f>IF(S191="","",VLOOKUP(S191,'G-3 Multipliers'!$A$2:$E$129,4,FALSE))</f>
        <v/>
      </c>
      <c r="AK191" s="506" t="str">
        <f t="shared" si="25"/>
        <v/>
      </c>
      <c r="AL191" s="506" t="str">
        <f t="shared" si="26"/>
        <v/>
      </c>
      <c r="AM191" s="539" t="str">
        <f>IFERROR(IF(F191="","",IF(AH191="Check Data ⚠","Check Data ⚠",VLOOKUP(AL191, 'G-3 Multipliers'!$P$2:$Q$6,2,FALSE))),"")</f>
        <v/>
      </c>
      <c r="AN191" s="512" t="str">
        <f t="shared" si="20"/>
        <v/>
      </c>
      <c r="AO191" s="238"/>
      <c r="AP191" s="239"/>
    </row>
    <row r="192" spans="1:42" x14ac:dyDescent="0.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c r="R192" s="237"/>
      <c r="S192" s="391" t="str">
        <f>IFERROR(INDEX('G-1 All Habitats'!$B$3:$B$129,MATCH(R192,'G-1 All Habitats'!$A$3:$A$129,0)),"")</f>
        <v/>
      </c>
      <c r="T192" s="497" t="str">
        <f t="shared" si="21"/>
        <v/>
      </c>
      <c r="U192" s="498" t="str">
        <f t="shared" si="22"/>
        <v/>
      </c>
      <c r="V192" s="536" t="str">
        <f t="shared" si="18"/>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19"/>
        <v/>
      </c>
      <c r="AE192" s="82"/>
      <c r="AF192" s="82"/>
      <c r="AG192" s="506" t="str">
        <f t="shared" si="23"/>
        <v/>
      </c>
      <c r="AH192" s="520" t="str">
        <f t="shared" si="24"/>
        <v/>
      </c>
      <c r="AI192" s="521" t="str">
        <f>IF(AH192="Check Data","Check Data",IFERROR(VLOOKUP(AH192,'G-4 Temporal multipliers'!$A$4:$C$36,3,FALSE),""))</f>
        <v/>
      </c>
      <c r="AJ192" s="497" t="str">
        <f>IF(S192="","",VLOOKUP(S192,'G-3 Multipliers'!$A$2:$E$129,4,FALSE))</f>
        <v/>
      </c>
      <c r="AK192" s="506" t="str">
        <f t="shared" si="25"/>
        <v/>
      </c>
      <c r="AL192" s="506" t="str">
        <f t="shared" si="26"/>
        <v/>
      </c>
      <c r="AM192" s="539" t="str">
        <f>IFERROR(IF(F192="","",IF(AH192="Check Data ⚠","Check Data ⚠",VLOOKUP(AL192, 'G-3 Multipliers'!$P$2:$Q$6,2,FALSE))),"")</f>
        <v/>
      </c>
      <c r="AN192" s="512" t="str">
        <f t="shared" si="20"/>
        <v/>
      </c>
      <c r="AO192" s="238"/>
      <c r="AP192" s="239"/>
    </row>
    <row r="193" spans="1:42" x14ac:dyDescent="0.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c r="R193" s="237"/>
      <c r="S193" s="391" t="str">
        <f>IFERROR(INDEX('G-1 All Habitats'!$B$3:$B$129,MATCH(R193,'G-1 All Habitats'!$A$3:$A$129,0)),"")</f>
        <v/>
      </c>
      <c r="T193" s="497" t="str">
        <f t="shared" si="21"/>
        <v/>
      </c>
      <c r="U193" s="498" t="str">
        <f t="shared" si="22"/>
        <v/>
      </c>
      <c r="V193" s="536" t="str">
        <f t="shared" si="18"/>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19"/>
        <v/>
      </c>
      <c r="AE193" s="82"/>
      <c r="AF193" s="82"/>
      <c r="AG193" s="506" t="str">
        <f t="shared" si="23"/>
        <v/>
      </c>
      <c r="AH193" s="520" t="str">
        <f t="shared" si="24"/>
        <v/>
      </c>
      <c r="AI193" s="521" t="str">
        <f>IF(AH193="Check Data","Check Data",IFERROR(VLOOKUP(AH193,'G-4 Temporal multipliers'!$A$4:$C$36,3,FALSE),""))</f>
        <v/>
      </c>
      <c r="AJ193" s="497" t="str">
        <f>IF(S193="","",VLOOKUP(S193,'G-3 Multipliers'!$A$2:$E$129,4,FALSE))</f>
        <v/>
      </c>
      <c r="AK193" s="506" t="str">
        <f t="shared" si="25"/>
        <v/>
      </c>
      <c r="AL193" s="506" t="str">
        <f t="shared" si="26"/>
        <v/>
      </c>
      <c r="AM193" s="539" t="str">
        <f>IFERROR(IF(F193="","",IF(AH193="Check Data ⚠","Check Data ⚠",VLOOKUP(AL193, 'G-3 Multipliers'!$P$2:$Q$6,2,FALSE))),"")</f>
        <v/>
      </c>
      <c r="AN193" s="512" t="str">
        <f t="shared" si="20"/>
        <v/>
      </c>
      <c r="AO193" s="238"/>
      <c r="AP193" s="239"/>
    </row>
    <row r="194" spans="1:42" x14ac:dyDescent="0.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c r="R194" s="237"/>
      <c r="S194" s="391" t="str">
        <f>IFERROR(INDEX('G-1 All Habitats'!$B$3:$B$129,MATCH(R194,'G-1 All Habitats'!$A$3:$A$129,0)),"")</f>
        <v/>
      </c>
      <c r="T194" s="497" t="str">
        <f t="shared" si="21"/>
        <v/>
      </c>
      <c r="U194" s="498" t="str">
        <f t="shared" si="22"/>
        <v/>
      </c>
      <c r="V194" s="536" t="str">
        <f t="shared" si="18"/>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19"/>
        <v/>
      </c>
      <c r="AE194" s="82"/>
      <c r="AF194" s="82"/>
      <c r="AG194" s="506" t="str">
        <f t="shared" si="23"/>
        <v/>
      </c>
      <c r="AH194" s="520" t="str">
        <f t="shared" si="24"/>
        <v/>
      </c>
      <c r="AI194" s="521" t="str">
        <f>IF(AH194="Check Data","Check Data",IFERROR(VLOOKUP(AH194,'G-4 Temporal multipliers'!$A$4:$C$36,3,FALSE),""))</f>
        <v/>
      </c>
      <c r="AJ194" s="497" t="str">
        <f>IF(S194="","",VLOOKUP(S194,'G-3 Multipliers'!$A$2:$E$129,4,FALSE))</f>
        <v/>
      </c>
      <c r="AK194" s="506" t="str">
        <f t="shared" si="25"/>
        <v/>
      </c>
      <c r="AL194" s="506" t="str">
        <f t="shared" si="26"/>
        <v/>
      </c>
      <c r="AM194" s="539" t="str">
        <f>IFERROR(IF(F194="","",IF(AH194="Check Data ⚠","Check Data ⚠",VLOOKUP(AL194, 'G-3 Multipliers'!$P$2:$Q$6,2,FALSE))),"")</f>
        <v/>
      </c>
      <c r="AN194" s="512" t="str">
        <f t="shared" si="20"/>
        <v/>
      </c>
      <c r="AO194" s="238"/>
      <c r="AP194" s="239"/>
    </row>
    <row r="195" spans="1:42" x14ac:dyDescent="0.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c r="R195" s="237"/>
      <c r="S195" s="391" t="str">
        <f>IFERROR(INDEX('G-1 All Habitats'!$B$3:$B$129,MATCH(R195,'G-1 All Habitats'!$A$3:$A$129,0)),"")</f>
        <v/>
      </c>
      <c r="T195" s="497" t="str">
        <f t="shared" si="21"/>
        <v/>
      </c>
      <c r="U195" s="498" t="str">
        <f t="shared" si="22"/>
        <v/>
      </c>
      <c r="V195" s="536" t="str">
        <f t="shared" si="18"/>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19"/>
        <v/>
      </c>
      <c r="AE195" s="82"/>
      <c r="AF195" s="82"/>
      <c r="AG195" s="506" t="str">
        <f t="shared" si="23"/>
        <v/>
      </c>
      <c r="AH195" s="520" t="str">
        <f t="shared" si="24"/>
        <v/>
      </c>
      <c r="AI195" s="521" t="str">
        <f>IF(AH195="Check Data","Check Data",IFERROR(VLOOKUP(AH195,'G-4 Temporal multipliers'!$A$4:$C$36,3,FALSE),""))</f>
        <v/>
      </c>
      <c r="AJ195" s="497" t="str">
        <f>IF(S195="","",VLOOKUP(S195,'G-3 Multipliers'!$A$2:$E$129,4,FALSE))</f>
        <v/>
      </c>
      <c r="AK195" s="506" t="str">
        <f t="shared" si="25"/>
        <v/>
      </c>
      <c r="AL195" s="506" t="str">
        <f t="shared" si="26"/>
        <v/>
      </c>
      <c r="AM195" s="539" t="str">
        <f>IFERROR(IF(F195="","",IF(AH195="Check Data ⚠","Check Data ⚠",VLOOKUP(AL195, 'G-3 Multipliers'!$P$2:$Q$6,2,FALSE))),"")</f>
        <v/>
      </c>
      <c r="AN195" s="512" t="str">
        <f t="shared" si="20"/>
        <v/>
      </c>
      <c r="AO195" s="238"/>
      <c r="AP195" s="239"/>
    </row>
    <row r="196" spans="1:42" x14ac:dyDescent="0.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c r="R196" s="237"/>
      <c r="S196" s="391" t="str">
        <f>IFERROR(INDEX('G-1 All Habitats'!$B$3:$B$129,MATCH(R196,'G-1 All Habitats'!$A$3:$A$129,0)),"")</f>
        <v/>
      </c>
      <c r="T196" s="497" t="str">
        <f t="shared" si="21"/>
        <v/>
      </c>
      <c r="U196" s="498" t="str">
        <f t="shared" si="22"/>
        <v/>
      </c>
      <c r="V196" s="536" t="str">
        <f t="shared" si="18"/>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19"/>
        <v/>
      </c>
      <c r="AE196" s="82"/>
      <c r="AF196" s="82"/>
      <c r="AG196" s="506" t="str">
        <f t="shared" si="23"/>
        <v/>
      </c>
      <c r="AH196" s="520" t="str">
        <f t="shared" si="24"/>
        <v/>
      </c>
      <c r="AI196" s="521" t="str">
        <f>IF(AH196="Check Data","Check Data",IFERROR(VLOOKUP(AH196,'G-4 Temporal multipliers'!$A$4:$C$36,3,FALSE),""))</f>
        <v/>
      </c>
      <c r="AJ196" s="497" t="str">
        <f>IF(S196="","",VLOOKUP(S196,'G-3 Multipliers'!$A$2:$E$129,4,FALSE))</f>
        <v/>
      </c>
      <c r="AK196" s="506" t="str">
        <f t="shared" si="25"/>
        <v/>
      </c>
      <c r="AL196" s="506" t="str">
        <f t="shared" si="26"/>
        <v/>
      </c>
      <c r="AM196" s="539" t="str">
        <f>IFERROR(IF(F196="","",IF(AH196="Check Data ⚠","Check Data ⚠",VLOOKUP(AL196, 'G-3 Multipliers'!$P$2:$Q$6,2,FALSE))),"")</f>
        <v/>
      </c>
      <c r="AN196" s="512" t="str">
        <f t="shared" si="20"/>
        <v/>
      </c>
      <c r="AO196" s="238"/>
      <c r="AP196" s="239"/>
    </row>
    <row r="197" spans="1:42" x14ac:dyDescent="0.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c r="R197" s="237"/>
      <c r="S197" s="391" t="str">
        <f>IFERROR(INDEX('G-1 All Habitats'!$B$3:$B$129,MATCH(R197,'G-1 All Habitats'!$A$3:$A$129,0)),"")</f>
        <v/>
      </c>
      <c r="T197" s="497" t="str">
        <f t="shared" si="21"/>
        <v/>
      </c>
      <c r="U197" s="498" t="str">
        <f t="shared" si="22"/>
        <v/>
      </c>
      <c r="V197" s="536" t="str">
        <f t="shared" si="18"/>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19"/>
        <v/>
      </c>
      <c r="AE197" s="82"/>
      <c r="AF197" s="82"/>
      <c r="AG197" s="506" t="str">
        <f t="shared" si="23"/>
        <v/>
      </c>
      <c r="AH197" s="520" t="str">
        <f t="shared" si="24"/>
        <v/>
      </c>
      <c r="AI197" s="521" t="str">
        <f>IF(AH197="Check Data","Check Data",IFERROR(VLOOKUP(AH197,'G-4 Temporal multipliers'!$A$4:$C$36,3,FALSE),""))</f>
        <v/>
      </c>
      <c r="AJ197" s="497" t="str">
        <f>IF(S197="","",VLOOKUP(S197,'G-3 Multipliers'!$A$2:$E$129,4,FALSE))</f>
        <v/>
      </c>
      <c r="AK197" s="506" t="str">
        <f t="shared" si="25"/>
        <v/>
      </c>
      <c r="AL197" s="506" t="str">
        <f t="shared" si="26"/>
        <v/>
      </c>
      <c r="AM197" s="539" t="str">
        <f>IFERROR(IF(F197="","",IF(AH197="Check Data ⚠","Check Data ⚠",VLOOKUP(AL197, 'G-3 Multipliers'!$P$2:$Q$6,2,FALSE))),"")</f>
        <v/>
      </c>
      <c r="AN197" s="512" t="str">
        <f t="shared" si="20"/>
        <v/>
      </c>
      <c r="AO197" s="238"/>
      <c r="AP197" s="239"/>
    </row>
    <row r="198" spans="1:42" x14ac:dyDescent="0.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c r="R198" s="237"/>
      <c r="S198" s="391" t="str">
        <f>IFERROR(INDEX('G-1 All Habitats'!$B$3:$B$129,MATCH(R198,'G-1 All Habitats'!$A$3:$A$129,0)),"")</f>
        <v/>
      </c>
      <c r="T198" s="497" t="str">
        <f t="shared" si="21"/>
        <v/>
      </c>
      <c r="U198" s="498" t="str">
        <f t="shared" si="22"/>
        <v/>
      </c>
      <c r="V198" s="536" t="str">
        <f t="shared" si="18"/>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19"/>
        <v/>
      </c>
      <c r="AE198" s="82"/>
      <c r="AF198" s="82"/>
      <c r="AG198" s="506" t="str">
        <f t="shared" si="23"/>
        <v/>
      </c>
      <c r="AH198" s="520" t="str">
        <f t="shared" si="24"/>
        <v/>
      </c>
      <c r="AI198" s="521" t="str">
        <f>IF(AH198="Check Data","Check Data",IFERROR(VLOOKUP(AH198,'G-4 Temporal multipliers'!$A$4:$C$36,3,FALSE),""))</f>
        <v/>
      </c>
      <c r="AJ198" s="497" t="str">
        <f>IF(S198="","",VLOOKUP(S198,'G-3 Multipliers'!$A$2:$E$129,4,FALSE))</f>
        <v/>
      </c>
      <c r="AK198" s="506" t="str">
        <f t="shared" si="25"/>
        <v/>
      </c>
      <c r="AL198" s="506" t="str">
        <f t="shared" si="26"/>
        <v/>
      </c>
      <c r="AM198" s="539" t="str">
        <f>IFERROR(IF(F198="","",IF(AH198="Check Data ⚠","Check Data ⚠",VLOOKUP(AL198, 'G-3 Multipliers'!$P$2:$Q$6,2,FALSE))),"")</f>
        <v/>
      </c>
      <c r="AN198" s="512" t="str">
        <f t="shared" si="20"/>
        <v/>
      </c>
      <c r="AO198" s="238"/>
      <c r="AP198" s="239"/>
    </row>
    <row r="199" spans="1:42" x14ac:dyDescent="0.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c r="R199" s="237"/>
      <c r="S199" s="391" t="str">
        <f>IFERROR(INDEX('G-1 All Habitats'!$B$3:$B$129,MATCH(R199,'G-1 All Habitats'!$A$3:$A$129,0)),"")</f>
        <v/>
      </c>
      <c r="T199" s="497" t="str">
        <f t="shared" si="21"/>
        <v/>
      </c>
      <c r="U199" s="498" t="str">
        <f t="shared" si="22"/>
        <v/>
      </c>
      <c r="V199" s="536" t="str">
        <f t="shared" si="18"/>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19"/>
        <v/>
      </c>
      <c r="AE199" s="82"/>
      <c r="AF199" s="82"/>
      <c r="AG199" s="506" t="str">
        <f t="shared" si="23"/>
        <v/>
      </c>
      <c r="AH199" s="520" t="str">
        <f t="shared" si="24"/>
        <v/>
      </c>
      <c r="AI199" s="521" t="str">
        <f>IF(AH199="Check Data","Check Data",IFERROR(VLOOKUP(AH199,'G-4 Temporal multipliers'!$A$4:$C$36,3,FALSE),""))</f>
        <v/>
      </c>
      <c r="AJ199" s="497" t="str">
        <f>IF(S199="","",VLOOKUP(S199,'G-3 Multipliers'!$A$2:$E$129,4,FALSE))</f>
        <v/>
      </c>
      <c r="AK199" s="506" t="str">
        <f t="shared" si="25"/>
        <v/>
      </c>
      <c r="AL199" s="506" t="str">
        <f t="shared" si="26"/>
        <v/>
      </c>
      <c r="AM199" s="539" t="str">
        <f>IFERROR(IF(F199="","",IF(AH199="Check Data ⚠","Check Data ⚠",VLOOKUP(AL199, 'G-3 Multipliers'!$P$2:$Q$6,2,FALSE))),"")</f>
        <v/>
      </c>
      <c r="AN199" s="512" t="str">
        <f t="shared" si="20"/>
        <v/>
      </c>
      <c r="AO199" s="238"/>
      <c r="AP199" s="239"/>
    </row>
    <row r="200" spans="1:42" x14ac:dyDescent="0.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c r="R200" s="237"/>
      <c r="S200" s="391" t="str">
        <f>IFERROR(INDEX('G-1 All Habitats'!$B$3:$B$129,MATCH(R200,'G-1 All Habitats'!$A$3:$A$129,0)),"")</f>
        <v/>
      </c>
      <c r="T200" s="497" t="str">
        <f t="shared" si="21"/>
        <v/>
      </c>
      <c r="U200" s="498" t="str">
        <f t="shared" si="22"/>
        <v/>
      </c>
      <c r="V200" s="536" t="str">
        <f t="shared" si="18"/>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19"/>
        <v/>
      </c>
      <c r="AE200" s="82"/>
      <c r="AF200" s="82"/>
      <c r="AG200" s="506" t="str">
        <f t="shared" si="23"/>
        <v/>
      </c>
      <c r="AH200" s="520" t="str">
        <f t="shared" si="24"/>
        <v/>
      </c>
      <c r="AI200" s="521" t="str">
        <f>IF(AH200="Check Data","Check Data",IFERROR(VLOOKUP(AH200,'G-4 Temporal multipliers'!$A$4:$C$36,3,FALSE),""))</f>
        <v/>
      </c>
      <c r="AJ200" s="497" t="str">
        <f>IF(S200="","",VLOOKUP(S200,'G-3 Multipliers'!$A$2:$E$129,4,FALSE))</f>
        <v/>
      </c>
      <c r="AK200" s="506" t="str">
        <f t="shared" si="25"/>
        <v/>
      </c>
      <c r="AL200" s="506" t="str">
        <f t="shared" si="26"/>
        <v/>
      </c>
      <c r="AM200" s="539" t="str">
        <f>IFERROR(IF(F200="","",IF(AH200="Check Data ⚠","Check Data ⚠",VLOOKUP(AL200, 'G-3 Multipliers'!$P$2:$Q$6,2,FALSE))),"")</f>
        <v/>
      </c>
      <c r="AN200" s="512" t="str">
        <f t="shared" si="20"/>
        <v/>
      </c>
      <c r="AO200" s="238"/>
      <c r="AP200" s="239"/>
    </row>
    <row r="201" spans="1:42" x14ac:dyDescent="0.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c r="R201" s="237"/>
      <c r="S201" s="391" t="str">
        <f>IFERROR(INDEX('G-1 All Habitats'!$B$3:$B$129,MATCH(R201,'G-1 All Habitats'!$A$3:$A$129,0)),"")</f>
        <v/>
      </c>
      <c r="T201" s="497" t="str">
        <f t="shared" si="21"/>
        <v/>
      </c>
      <c r="U201" s="498" t="str">
        <f t="shared" si="22"/>
        <v/>
      </c>
      <c r="V201" s="536" t="str">
        <f t="shared" si="18"/>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19"/>
        <v/>
      </c>
      <c r="AE201" s="82"/>
      <c r="AF201" s="82"/>
      <c r="AG201" s="506" t="str">
        <f t="shared" si="23"/>
        <v/>
      </c>
      <c r="AH201" s="520" t="str">
        <f t="shared" si="24"/>
        <v/>
      </c>
      <c r="AI201" s="521" t="str">
        <f>IF(AH201="Check Data","Check Data",IFERROR(VLOOKUP(AH201,'G-4 Temporal multipliers'!$A$4:$C$36,3,FALSE),""))</f>
        <v/>
      </c>
      <c r="AJ201" s="497" t="str">
        <f>IF(S201="","",VLOOKUP(S201,'G-3 Multipliers'!$A$2:$E$129,4,FALSE))</f>
        <v/>
      </c>
      <c r="AK201" s="506" t="str">
        <f t="shared" si="25"/>
        <v/>
      </c>
      <c r="AL201" s="506" t="str">
        <f t="shared" si="26"/>
        <v/>
      </c>
      <c r="AM201" s="539" t="str">
        <f>IFERROR(IF(F201="","",IF(AH201="Check Data ⚠","Check Data ⚠",VLOOKUP(AL201, 'G-3 Multipliers'!$P$2:$Q$6,2,FALSE))),"")</f>
        <v/>
      </c>
      <c r="AN201" s="512" t="str">
        <f t="shared" si="20"/>
        <v/>
      </c>
      <c r="AO201" s="238"/>
      <c r="AP201" s="239"/>
    </row>
    <row r="202" spans="1:42" x14ac:dyDescent="0.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c r="R202" s="237"/>
      <c r="S202" s="391" t="str">
        <f>IFERROR(INDEX('G-1 All Habitats'!$B$3:$B$129,MATCH(R202,'G-1 All Habitats'!$A$3:$A$129,0)),"")</f>
        <v/>
      </c>
      <c r="T202" s="497" t="str">
        <f t="shared" si="21"/>
        <v/>
      </c>
      <c r="U202" s="498" t="str">
        <f t="shared" si="22"/>
        <v/>
      </c>
      <c r="V202" s="536" t="str">
        <f t="shared" si="18"/>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19"/>
        <v/>
      </c>
      <c r="AE202" s="82"/>
      <c r="AF202" s="82"/>
      <c r="AG202" s="506" t="str">
        <f t="shared" si="23"/>
        <v/>
      </c>
      <c r="AH202" s="520" t="str">
        <f t="shared" si="24"/>
        <v/>
      </c>
      <c r="AI202" s="521" t="str">
        <f>IF(AH202="Check Data","Check Data",IFERROR(VLOOKUP(AH202,'G-4 Temporal multipliers'!$A$4:$C$36,3,FALSE),""))</f>
        <v/>
      </c>
      <c r="AJ202" s="497" t="str">
        <f>IF(S202="","",VLOOKUP(S202,'G-3 Multipliers'!$A$2:$E$129,4,FALSE))</f>
        <v/>
      </c>
      <c r="AK202" s="506" t="str">
        <f t="shared" si="25"/>
        <v/>
      </c>
      <c r="AL202" s="506" t="str">
        <f t="shared" si="26"/>
        <v/>
      </c>
      <c r="AM202" s="539" t="str">
        <f>IFERROR(IF(F202="","",IF(AH202="Check Data ⚠","Check Data ⚠",VLOOKUP(AL202, 'G-3 Multipliers'!$P$2:$Q$6,2,FALSE))),"")</f>
        <v/>
      </c>
      <c r="AN202" s="512" t="str">
        <f t="shared" si="20"/>
        <v/>
      </c>
      <c r="AO202" s="238"/>
      <c r="AP202" s="239"/>
    </row>
    <row r="203" spans="1:42" x14ac:dyDescent="0.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c r="R203" s="237"/>
      <c r="S203" s="391" t="str">
        <f>IFERROR(INDEX('G-1 All Habitats'!$B$3:$B$129,MATCH(R203,'G-1 All Habitats'!$A$3:$A$129,0)),"")</f>
        <v/>
      </c>
      <c r="T203" s="497" t="str">
        <f t="shared" si="21"/>
        <v/>
      </c>
      <c r="U203" s="498" t="str">
        <f t="shared" si="22"/>
        <v/>
      </c>
      <c r="V203" s="536" t="str">
        <f t="shared" si="18"/>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19"/>
        <v/>
      </c>
      <c r="AE203" s="82"/>
      <c r="AF203" s="82"/>
      <c r="AG203" s="506" t="str">
        <f t="shared" si="23"/>
        <v/>
      </c>
      <c r="AH203" s="520" t="str">
        <f t="shared" si="24"/>
        <v/>
      </c>
      <c r="AI203" s="521" t="str">
        <f>IF(AH203="Check Data","Check Data",IFERROR(VLOOKUP(AH203,'G-4 Temporal multipliers'!$A$4:$C$36,3,FALSE),""))</f>
        <v/>
      </c>
      <c r="AJ203" s="497" t="str">
        <f>IF(S203="","",VLOOKUP(S203,'G-3 Multipliers'!$A$2:$E$129,4,FALSE))</f>
        <v/>
      </c>
      <c r="AK203" s="506" t="str">
        <f t="shared" si="25"/>
        <v/>
      </c>
      <c r="AL203" s="506" t="str">
        <f t="shared" si="26"/>
        <v/>
      </c>
      <c r="AM203" s="539" t="str">
        <f>IFERROR(IF(F203="","",IF(AH203="Check Data ⚠","Check Data ⚠",VLOOKUP(AL203, 'G-3 Multipliers'!$P$2:$Q$6,2,FALSE))),"")</f>
        <v/>
      </c>
      <c r="AN203" s="512" t="str">
        <f t="shared" si="20"/>
        <v/>
      </c>
      <c r="AO203" s="238"/>
      <c r="AP203" s="239"/>
    </row>
    <row r="204" spans="1:42" x14ac:dyDescent="0.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c r="R204" s="237"/>
      <c r="S204" s="391" t="str">
        <f>IFERROR(INDEX('G-1 All Habitats'!$B$3:$B$129,MATCH(R204,'G-1 All Habitats'!$A$3:$A$129,0)),"")</f>
        <v/>
      </c>
      <c r="T204" s="497" t="str">
        <f t="shared" si="21"/>
        <v/>
      </c>
      <c r="U204" s="498" t="str">
        <f t="shared" si="22"/>
        <v/>
      </c>
      <c r="V204" s="536" t="str">
        <f t="shared" ref="V204:V257" si="27">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28">IFERROR(IF(OR(LEFT(U204,5)="Error ▲",LEFT(T204,5)="Error ▲"),"Check Data ⚠",INDEX(EnhanceTemporal,MATCH(S204,EnhanceHabitat,0),MATCH(U204,EnhanceCondition,0))),"")</f>
        <v/>
      </c>
      <c r="AE204" s="82"/>
      <c r="AF204" s="82"/>
      <c r="AG204" s="506" t="str">
        <f t="shared" si="23"/>
        <v/>
      </c>
      <c r="AH204" s="520" t="str">
        <f t="shared" si="24"/>
        <v/>
      </c>
      <c r="AI204" s="521" t="str">
        <f>IF(AH204="Check Data","Check Data",IFERROR(VLOOKUP(AH204,'G-4 Temporal multipliers'!$A$4:$C$36,3,FALSE),""))</f>
        <v/>
      </c>
      <c r="AJ204" s="497" t="str">
        <f>IF(S204="","",VLOOKUP(S204,'G-3 Multipliers'!$A$2:$E$129,4,FALSE))</f>
        <v/>
      </c>
      <c r="AK204" s="506" t="str">
        <f t="shared" si="25"/>
        <v/>
      </c>
      <c r="AL204" s="506" t="str">
        <f t="shared" si="26"/>
        <v/>
      </c>
      <c r="AM204" s="539" t="str">
        <f>IFERROR(IF(F204="","",IF(AH204="Check Data ⚠","Check Data ⚠",VLOOKUP(AL204, 'G-3 Multipliers'!$P$2:$Q$6,2,FALSE))),"")</f>
        <v/>
      </c>
      <c r="AN204" s="512" t="str">
        <f t="shared" ref="AN204:AN257" si="29">IFERROR(((((V204*X204*Z204)-(V204*I204*K204))*(AM204*AI204))+(V204*I204*K204))*(AC204),"")</f>
        <v/>
      </c>
      <c r="AO204" s="238"/>
      <c r="AP204" s="239"/>
    </row>
    <row r="205" spans="1:42" x14ac:dyDescent="0.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c r="R205" s="237"/>
      <c r="S205" s="391" t="str">
        <f>IFERROR(INDEX('G-1 All Habitats'!$B$3:$B$129,MATCH(R205,'G-1 All Habitats'!$A$3:$A$129,0)),"")</f>
        <v/>
      </c>
      <c r="T205" s="497" t="str">
        <f t="shared" ref="T205:T256" si="30">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31">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27"/>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28"/>
        <v/>
      </c>
      <c r="AE205" s="82"/>
      <c r="AF205" s="82"/>
      <c r="AG205" s="506" t="str">
        <f t="shared" ref="AG205:AG257" si="32">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33">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34">IF(E205="","",IF(AG205="Check details - Is there evidence that habitat has reached target condition? ⚠","Low Difficulty - only applicable if all habitat created before losses ⚠","Standard difficulty applied"))</f>
        <v/>
      </c>
      <c r="AL205" s="506" t="str">
        <f t="shared" ref="AL205:AL257" si="35">(IF(AND(AK205="Standard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29"/>
        <v/>
      </c>
      <c r="AO205" s="238"/>
      <c r="AP205" s="239"/>
    </row>
    <row r="206" spans="1:42" x14ac:dyDescent="0.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c r="R206" s="237"/>
      <c r="S206" s="391" t="str">
        <f>IFERROR(INDEX('G-1 All Habitats'!$B$3:$B$129,MATCH(R206,'G-1 All Habitats'!$A$3:$A$129,0)),"")</f>
        <v/>
      </c>
      <c r="T206" s="497" t="str">
        <f t="shared" si="30"/>
        <v/>
      </c>
      <c r="U206" s="498" t="str">
        <f t="shared" si="31"/>
        <v/>
      </c>
      <c r="V206" s="536" t="str">
        <f t="shared" si="27"/>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28"/>
        <v/>
      </c>
      <c r="AE206" s="82"/>
      <c r="AF206" s="82"/>
      <c r="AG206" s="506" t="str">
        <f t="shared" si="32"/>
        <v/>
      </c>
      <c r="AH206" s="520" t="str">
        <f t="shared" si="33"/>
        <v/>
      </c>
      <c r="AI206" s="521" t="str">
        <f>IF(AH206="Check Data","Check Data",IFERROR(VLOOKUP(AH206,'G-4 Temporal multipliers'!$A$4:$C$36,3,FALSE),""))</f>
        <v/>
      </c>
      <c r="AJ206" s="497" t="str">
        <f>IF(S206="","",VLOOKUP(S206,'G-3 Multipliers'!$A$2:$E$129,4,FALSE))</f>
        <v/>
      </c>
      <c r="AK206" s="506" t="str">
        <f t="shared" si="34"/>
        <v/>
      </c>
      <c r="AL206" s="506" t="str">
        <f t="shared" si="35"/>
        <v/>
      </c>
      <c r="AM206" s="539" t="str">
        <f>IFERROR(IF(F206="","",IF(AH206="Check Data ⚠","Check Data ⚠",VLOOKUP(AL206, 'G-3 Multipliers'!$P$2:$Q$6,2,FALSE))),"")</f>
        <v/>
      </c>
      <c r="AN206" s="512" t="str">
        <f t="shared" si="29"/>
        <v/>
      </c>
      <c r="AO206" s="238"/>
      <c r="AP206" s="239"/>
    </row>
    <row r="207" spans="1:42" x14ac:dyDescent="0.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c r="R207" s="237"/>
      <c r="S207" s="391" t="str">
        <f>IFERROR(INDEX('G-1 All Habitats'!$B$3:$B$129,MATCH(R207,'G-1 All Habitats'!$A$3:$A$129,0)),"")</f>
        <v/>
      </c>
      <c r="T207" s="497" t="str">
        <f t="shared" si="30"/>
        <v/>
      </c>
      <c r="U207" s="498" t="str">
        <f t="shared" si="31"/>
        <v/>
      </c>
      <c r="V207" s="536" t="str">
        <f t="shared" si="27"/>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28"/>
        <v/>
      </c>
      <c r="AE207" s="82"/>
      <c r="AF207" s="82"/>
      <c r="AG207" s="506" t="str">
        <f t="shared" si="32"/>
        <v/>
      </c>
      <c r="AH207" s="520" t="str">
        <f t="shared" si="33"/>
        <v/>
      </c>
      <c r="AI207" s="521" t="str">
        <f>IF(AH207="Check Data","Check Data",IFERROR(VLOOKUP(AH207,'G-4 Temporal multipliers'!$A$4:$C$36,3,FALSE),""))</f>
        <v/>
      </c>
      <c r="AJ207" s="497" t="str">
        <f>IF(S207="","",VLOOKUP(S207,'G-3 Multipliers'!$A$2:$E$129,4,FALSE))</f>
        <v/>
      </c>
      <c r="AK207" s="506" t="str">
        <f t="shared" si="34"/>
        <v/>
      </c>
      <c r="AL207" s="506" t="str">
        <f t="shared" si="35"/>
        <v/>
      </c>
      <c r="AM207" s="539" t="str">
        <f>IFERROR(IF(F207="","",IF(AH207="Check Data ⚠","Check Data ⚠",VLOOKUP(AL207, 'G-3 Multipliers'!$P$2:$Q$6,2,FALSE))),"")</f>
        <v/>
      </c>
      <c r="AN207" s="512" t="str">
        <f t="shared" si="29"/>
        <v/>
      </c>
      <c r="AO207" s="238"/>
      <c r="AP207" s="239"/>
    </row>
    <row r="208" spans="1:42" x14ac:dyDescent="0.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c r="R208" s="237"/>
      <c r="S208" s="391" t="str">
        <f>IFERROR(INDEX('G-1 All Habitats'!$B$3:$B$129,MATCH(R208,'G-1 All Habitats'!$A$3:$A$129,0)),"")</f>
        <v/>
      </c>
      <c r="T208" s="497" t="str">
        <f t="shared" si="30"/>
        <v/>
      </c>
      <c r="U208" s="498" t="str">
        <f t="shared" si="31"/>
        <v/>
      </c>
      <c r="V208" s="536" t="str">
        <f t="shared" si="27"/>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28"/>
        <v/>
      </c>
      <c r="AE208" s="82"/>
      <c r="AF208" s="82"/>
      <c r="AG208" s="506" t="str">
        <f t="shared" si="32"/>
        <v/>
      </c>
      <c r="AH208" s="520" t="str">
        <f t="shared" si="33"/>
        <v/>
      </c>
      <c r="AI208" s="521" t="str">
        <f>IF(AH208="Check Data","Check Data",IFERROR(VLOOKUP(AH208,'G-4 Temporal multipliers'!$A$4:$C$36,3,FALSE),""))</f>
        <v/>
      </c>
      <c r="AJ208" s="497" t="str">
        <f>IF(S208="","",VLOOKUP(S208,'G-3 Multipliers'!$A$2:$E$129,4,FALSE))</f>
        <v/>
      </c>
      <c r="AK208" s="506" t="str">
        <f t="shared" si="34"/>
        <v/>
      </c>
      <c r="AL208" s="506" t="str">
        <f t="shared" si="35"/>
        <v/>
      </c>
      <c r="AM208" s="539" t="str">
        <f>IFERROR(IF(F208="","",IF(AH208="Check Data ⚠","Check Data ⚠",VLOOKUP(AL208, 'G-3 Multipliers'!$P$2:$Q$6,2,FALSE))),"")</f>
        <v/>
      </c>
      <c r="AN208" s="512" t="str">
        <f t="shared" si="29"/>
        <v/>
      </c>
      <c r="AO208" s="238"/>
      <c r="AP208" s="239"/>
    </row>
    <row r="209" spans="1:42" x14ac:dyDescent="0.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c r="R209" s="237"/>
      <c r="S209" s="391" t="str">
        <f>IFERROR(INDEX('G-1 All Habitats'!$B$3:$B$129,MATCH(R209,'G-1 All Habitats'!$A$3:$A$129,0)),"")</f>
        <v/>
      </c>
      <c r="T209" s="497" t="str">
        <f t="shared" si="30"/>
        <v/>
      </c>
      <c r="U209" s="498" t="str">
        <f t="shared" si="31"/>
        <v/>
      </c>
      <c r="V209" s="536" t="str">
        <f t="shared" si="27"/>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28"/>
        <v/>
      </c>
      <c r="AE209" s="82"/>
      <c r="AF209" s="82"/>
      <c r="AG209" s="506" t="str">
        <f t="shared" si="32"/>
        <v/>
      </c>
      <c r="AH209" s="520" t="str">
        <f t="shared" si="33"/>
        <v/>
      </c>
      <c r="AI209" s="521" t="str">
        <f>IF(AH209="Check Data","Check Data",IFERROR(VLOOKUP(AH209,'G-4 Temporal multipliers'!$A$4:$C$36,3,FALSE),""))</f>
        <v/>
      </c>
      <c r="AJ209" s="497" t="str">
        <f>IF(S209="","",VLOOKUP(S209,'G-3 Multipliers'!$A$2:$E$129,4,FALSE))</f>
        <v/>
      </c>
      <c r="AK209" s="506" t="str">
        <f t="shared" si="34"/>
        <v/>
      </c>
      <c r="AL209" s="506" t="str">
        <f t="shared" si="35"/>
        <v/>
      </c>
      <c r="AM209" s="539" t="str">
        <f>IFERROR(IF(F209="","",IF(AH209="Check Data ⚠","Check Data ⚠",VLOOKUP(AL209, 'G-3 Multipliers'!$P$2:$Q$6,2,FALSE))),"")</f>
        <v/>
      </c>
      <c r="AN209" s="512" t="str">
        <f t="shared" si="29"/>
        <v/>
      </c>
      <c r="AO209" s="238"/>
      <c r="AP209" s="239"/>
    </row>
    <row r="210" spans="1:42" x14ac:dyDescent="0.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c r="R210" s="237"/>
      <c r="S210" s="391" t="str">
        <f>IFERROR(INDEX('G-1 All Habitats'!$B$3:$B$129,MATCH(R210,'G-1 All Habitats'!$A$3:$A$129,0)),"")</f>
        <v/>
      </c>
      <c r="T210" s="497" t="str">
        <f t="shared" si="30"/>
        <v/>
      </c>
      <c r="U210" s="498" t="str">
        <f t="shared" si="31"/>
        <v/>
      </c>
      <c r="V210" s="536" t="str">
        <f t="shared" si="27"/>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28"/>
        <v/>
      </c>
      <c r="AE210" s="82"/>
      <c r="AF210" s="82"/>
      <c r="AG210" s="506" t="str">
        <f t="shared" si="32"/>
        <v/>
      </c>
      <c r="AH210" s="520" t="str">
        <f t="shared" si="33"/>
        <v/>
      </c>
      <c r="AI210" s="521" t="str">
        <f>IF(AH210="Check Data","Check Data",IFERROR(VLOOKUP(AH210,'G-4 Temporal multipliers'!$A$4:$C$36,3,FALSE),""))</f>
        <v/>
      </c>
      <c r="AJ210" s="497" t="str">
        <f>IF(S210="","",VLOOKUP(S210,'G-3 Multipliers'!$A$2:$E$129,4,FALSE))</f>
        <v/>
      </c>
      <c r="AK210" s="506" t="str">
        <f t="shared" si="34"/>
        <v/>
      </c>
      <c r="AL210" s="506" t="str">
        <f t="shared" si="35"/>
        <v/>
      </c>
      <c r="AM210" s="539" t="str">
        <f>IFERROR(IF(F210="","",IF(AH210="Check Data ⚠","Check Data ⚠",VLOOKUP(AL210, 'G-3 Multipliers'!$P$2:$Q$6,2,FALSE))),"")</f>
        <v/>
      </c>
      <c r="AN210" s="512" t="str">
        <f t="shared" si="29"/>
        <v/>
      </c>
      <c r="AO210" s="238"/>
      <c r="AP210" s="239"/>
    </row>
    <row r="211" spans="1:42" x14ac:dyDescent="0.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c r="R211" s="237"/>
      <c r="S211" s="391" t="str">
        <f>IFERROR(INDEX('G-1 All Habitats'!$B$3:$B$129,MATCH(R211,'G-1 All Habitats'!$A$3:$A$129,0)),"")</f>
        <v/>
      </c>
      <c r="T211" s="497" t="str">
        <f t="shared" si="30"/>
        <v/>
      </c>
      <c r="U211" s="498" t="str">
        <f t="shared" si="31"/>
        <v/>
      </c>
      <c r="V211" s="536" t="str">
        <f t="shared" si="27"/>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28"/>
        <v/>
      </c>
      <c r="AE211" s="82"/>
      <c r="AF211" s="82"/>
      <c r="AG211" s="506" t="str">
        <f t="shared" si="32"/>
        <v/>
      </c>
      <c r="AH211" s="520" t="str">
        <f t="shared" si="33"/>
        <v/>
      </c>
      <c r="AI211" s="521" t="str">
        <f>IF(AH211="Check Data","Check Data",IFERROR(VLOOKUP(AH211,'G-4 Temporal multipliers'!$A$4:$C$36,3,FALSE),""))</f>
        <v/>
      </c>
      <c r="AJ211" s="497" t="str">
        <f>IF(S211="","",VLOOKUP(S211,'G-3 Multipliers'!$A$2:$E$129,4,FALSE))</f>
        <v/>
      </c>
      <c r="AK211" s="506" t="str">
        <f t="shared" si="34"/>
        <v/>
      </c>
      <c r="AL211" s="506" t="str">
        <f t="shared" si="35"/>
        <v/>
      </c>
      <c r="AM211" s="539" t="str">
        <f>IFERROR(IF(F211="","",IF(AH211="Check Data ⚠","Check Data ⚠",VLOOKUP(AL211, 'G-3 Multipliers'!$P$2:$Q$6,2,FALSE))),"")</f>
        <v/>
      </c>
      <c r="AN211" s="512" t="str">
        <f t="shared" si="29"/>
        <v/>
      </c>
      <c r="AO211" s="238"/>
      <c r="AP211" s="239"/>
    </row>
    <row r="212" spans="1:42" x14ac:dyDescent="0.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c r="R212" s="237"/>
      <c r="S212" s="391" t="str">
        <f>IFERROR(INDEX('G-1 All Habitats'!$B$3:$B$129,MATCH(R212,'G-1 All Habitats'!$A$3:$A$129,0)),"")</f>
        <v/>
      </c>
      <c r="T212" s="497" t="str">
        <f t="shared" si="30"/>
        <v/>
      </c>
      <c r="U212" s="498" t="str">
        <f t="shared" si="31"/>
        <v/>
      </c>
      <c r="V212" s="536" t="str">
        <f t="shared" si="27"/>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28"/>
        <v/>
      </c>
      <c r="AE212" s="82"/>
      <c r="AF212" s="82"/>
      <c r="AG212" s="506" t="str">
        <f t="shared" si="32"/>
        <v/>
      </c>
      <c r="AH212" s="520" t="str">
        <f t="shared" si="33"/>
        <v/>
      </c>
      <c r="AI212" s="521" t="str">
        <f>IF(AH212="Check Data","Check Data",IFERROR(VLOOKUP(AH212,'G-4 Temporal multipliers'!$A$4:$C$36,3,FALSE),""))</f>
        <v/>
      </c>
      <c r="AJ212" s="497" t="str">
        <f>IF(S212="","",VLOOKUP(S212,'G-3 Multipliers'!$A$2:$E$129,4,FALSE))</f>
        <v/>
      </c>
      <c r="AK212" s="506" t="str">
        <f t="shared" si="34"/>
        <v/>
      </c>
      <c r="AL212" s="506" t="str">
        <f t="shared" si="35"/>
        <v/>
      </c>
      <c r="AM212" s="539" t="str">
        <f>IFERROR(IF(F212="","",IF(AH212="Check Data ⚠","Check Data ⚠",VLOOKUP(AL212, 'G-3 Multipliers'!$P$2:$Q$6,2,FALSE))),"")</f>
        <v/>
      </c>
      <c r="AN212" s="512" t="str">
        <f t="shared" si="29"/>
        <v/>
      </c>
      <c r="AO212" s="238"/>
      <c r="AP212" s="239"/>
    </row>
    <row r="213" spans="1:42" x14ac:dyDescent="0.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c r="R213" s="237"/>
      <c r="S213" s="391" t="str">
        <f>IFERROR(INDEX('G-1 All Habitats'!$B$3:$B$129,MATCH(R213,'G-1 All Habitats'!$A$3:$A$129,0)),"")</f>
        <v/>
      </c>
      <c r="T213" s="497" t="str">
        <f t="shared" si="30"/>
        <v/>
      </c>
      <c r="U213" s="498" t="str">
        <f t="shared" si="31"/>
        <v/>
      </c>
      <c r="V213" s="536" t="str">
        <f t="shared" si="27"/>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28"/>
        <v/>
      </c>
      <c r="AE213" s="82"/>
      <c r="AF213" s="82"/>
      <c r="AG213" s="506" t="str">
        <f t="shared" si="32"/>
        <v/>
      </c>
      <c r="AH213" s="520" t="str">
        <f t="shared" si="33"/>
        <v/>
      </c>
      <c r="AI213" s="521" t="str">
        <f>IF(AH213="Check Data","Check Data",IFERROR(VLOOKUP(AH213,'G-4 Temporal multipliers'!$A$4:$C$36,3,FALSE),""))</f>
        <v/>
      </c>
      <c r="AJ213" s="497" t="str">
        <f>IF(S213="","",VLOOKUP(S213,'G-3 Multipliers'!$A$2:$E$129,4,FALSE))</f>
        <v/>
      </c>
      <c r="AK213" s="506" t="str">
        <f t="shared" si="34"/>
        <v/>
      </c>
      <c r="AL213" s="506" t="str">
        <f t="shared" si="35"/>
        <v/>
      </c>
      <c r="AM213" s="539" t="str">
        <f>IFERROR(IF(F213="","",IF(AH213="Check Data ⚠","Check Data ⚠",VLOOKUP(AL213, 'G-3 Multipliers'!$P$2:$Q$6,2,FALSE))),"")</f>
        <v/>
      </c>
      <c r="AN213" s="512" t="str">
        <f t="shared" si="29"/>
        <v/>
      </c>
      <c r="AO213" s="238"/>
      <c r="AP213" s="239"/>
    </row>
    <row r="214" spans="1:42" x14ac:dyDescent="0.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c r="R214" s="237"/>
      <c r="S214" s="391" t="str">
        <f>IFERROR(INDEX('G-1 All Habitats'!$B$3:$B$129,MATCH(R214,'G-1 All Habitats'!$A$3:$A$129,0)),"")</f>
        <v/>
      </c>
      <c r="T214" s="497" t="str">
        <f t="shared" si="30"/>
        <v/>
      </c>
      <c r="U214" s="498" t="str">
        <f t="shared" si="31"/>
        <v/>
      </c>
      <c r="V214" s="536" t="str">
        <f t="shared" si="27"/>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28"/>
        <v/>
      </c>
      <c r="AE214" s="82"/>
      <c r="AF214" s="82"/>
      <c r="AG214" s="506" t="str">
        <f t="shared" si="32"/>
        <v/>
      </c>
      <c r="AH214" s="520" t="str">
        <f t="shared" si="33"/>
        <v/>
      </c>
      <c r="AI214" s="521" t="str">
        <f>IF(AH214="Check Data","Check Data",IFERROR(VLOOKUP(AH214,'G-4 Temporal multipliers'!$A$4:$C$36,3,FALSE),""))</f>
        <v/>
      </c>
      <c r="AJ214" s="497" t="str">
        <f>IF(S214="","",VLOOKUP(S214,'G-3 Multipliers'!$A$2:$E$129,4,FALSE))</f>
        <v/>
      </c>
      <c r="AK214" s="506" t="str">
        <f t="shared" si="34"/>
        <v/>
      </c>
      <c r="AL214" s="506" t="str">
        <f t="shared" si="35"/>
        <v/>
      </c>
      <c r="AM214" s="539" t="str">
        <f>IFERROR(IF(F214="","",IF(AH214="Check Data ⚠","Check Data ⚠",VLOOKUP(AL214, 'G-3 Multipliers'!$P$2:$Q$6,2,FALSE))),"")</f>
        <v/>
      </c>
      <c r="AN214" s="512" t="str">
        <f t="shared" si="29"/>
        <v/>
      </c>
      <c r="AO214" s="238"/>
      <c r="AP214" s="239"/>
    </row>
    <row r="215" spans="1:42" x14ac:dyDescent="0.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c r="R215" s="237"/>
      <c r="S215" s="391" t="str">
        <f>IFERROR(INDEX('G-1 All Habitats'!$B$3:$B$129,MATCH(R215,'G-1 All Habitats'!$A$3:$A$129,0)),"")</f>
        <v/>
      </c>
      <c r="T215" s="497" t="str">
        <f t="shared" si="30"/>
        <v/>
      </c>
      <c r="U215" s="498" t="str">
        <f t="shared" si="31"/>
        <v/>
      </c>
      <c r="V215" s="536" t="str">
        <f t="shared" si="27"/>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28"/>
        <v/>
      </c>
      <c r="AE215" s="82"/>
      <c r="AF215" s="82"/>
      <c r="AG215" s="506" t="str">
        <f t="shared" si="32"/>
        <v/>
      </c>
      <c r="AH215" s="520" t="str">
        <f t="shared" si="33"/>
        <v/>
      </c>
      <c r="AI215" s="521" t="str">
        <f>IF(AH215="Check Data","Check Data",IFERROR(VLOOKUP(AH215,'G-4 Temporal multipliers'!$A$4:$C$36,3,FALSE),""))</f>
        <v/>
      </c>
      <c r="AJ215" s="497" t="str">
        <f>IF(S215="","",VLOOKUP(S215,'G-3 Multipliers'!$A$2:$E$129,4,FALSE))</f>
        <v/>
      </c>
      <c r="AK215" s="506" t="str">
        <f t="shared" si="34"/>
        <v/>
      </c>
      <c r="AL215" s="506" t="str">
        <f t="shared" si="35"/>
        <v/>
      </c>
      <c r="AM215" s="539" t="str">
        <f>IFERROR(IF(F215="","",IF(AH215="Check Data ⚠","Check Data ⚠",VLOOKUP(AL215, 'G-3 Multipliers'!$P$2:$Q$6,2,FALSE))),"")</f>
        <v/>
      </c>
      <c r="AN215" s="512" t="str">
        <f t="shared" si="29"/>
        <v/>
      </c>
      <c r="AO215" s="238"/>
      <c r="AP215" s="239"/>
    </row>
    <row r="216" spans="1:42" x14ac:dyDescent="0.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c r="R216" s="237"/>
      <c r="S216" s="391" t="str">
        <f>IFERROR(INDEX('G-1 All Habitats'!$B$3:$B$129,MATCH(R216,'G-1 All Habitats'!$A$3:$A$129,0)),"")</f>
        <v/>
      </c>
      <c r="T216" s="497" t="str">
        <f t="shared" si="30"/>
        <v/>
      </c>
      <c r="U216" s="498" t="str">
        <f t="shared" si="31"/>
        <v/>
      </c>
      <c r="V216" s="536" t="str">
        <f t="shared" si="27"/>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28"/>
        <v/>
      </c>
      <c r="AE216" s="82"/>
      <c r="AF216" s="82"/>
      <c r="AG216" s="506" t="str">
        <f t="shared" si="32"/>
        <v/>
      </c>
      <c r="AH216" s="520" t="str">
        <f t="shared" si="33"/>
        <v/>
      </c>
      <c r="AI216" s="521" t="str">
        <f>IF(AH216="Check Data","Check Data",IFERROR(VLOOKUP(AH216,'G-4 Temporal multipliers'!$A$4:$C$36,3,FALSE),""))</f>
        <v/>
      </c>
      <c r="AJ216" s="497" t="str">
        <f>IF(S216="","",VLOOKUP(S216,'G-3 Multipliers'!$A$2:$E$129,4,FALSE))</f>
        <v/>
      </c>
      <c r="AK216" s="506" t="str">
        <f t="shared" si="34"/>
        <v/>
      </c>
      <c r="AL216" s="506" t="str">
        <f t="shared" si="35"/>
        <v/>
      </c>
      <c r="AM216" s="539" t="str">
        <f>IFERROR(IF(F216="","",IF(AH216="Check Data ⚠","Check Data ⚠",VLOOKUP(AL216, 'G-3 Multipliers'!$P$2:$Q$6,2,FALSE))),"")</f>
        <v/>
      </c>
      <c r="AN216" s="512" t="str">
        <f t="shared" si="29"/>
        <v/>
      </c>
      <c r="AO216" s="238"/>
      <c r="AP216" s="239"/>
    </row>
    <row r="217" spans="1:42" x14ac:dyDescent="0.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c r="R217" s="237"/>
      <c r="S217" s="391" t="str">
        <f>IFERROR(INDEX('G-1 All Habitats'!$B$3:$B$129,MATCH(R217,'G-1 All Habitats'!$A$3:$A$129,0)),"")</f>
        <v/>
      </c>
      <c r="T217" s="497" t="str">
        <f t="shared" si="30"/>
        <v/>
      </c>
      <c r="U217" s="498" t="str">
        <f t="shared" si="31"/>
        <v/>
      </c>
      <c r="V217" s="536" t="str">
        <f t="shared" si="27"/>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28"/>
        <v/>
      </c>
      <c r="AE217" s="82"/>
      <c r="AF217" s="82"/>
      <c r="AG217" s="506" t="str">
        <f t="shared" si="32"/>
        <v/>
      </c>
      <c r="AH217" s="520" t="str">
        <f t="shared" si="33"/>
        <v/>
      </c>
      <c r="AI217" s="521" t="str">
        <f>IF(AH217="Check Data","Check Data",IFERROR(VLOOKUP(AH217,'G-4 Temporal multipliers'!$A$4:$C$36,3,FALSE),""))</f>
        <v/>
      </c>
      <c r="AJ217" s="497" t="str">
        <f>IF(S217="","",VLOOKUP(S217,'G-3 Multipliers'!$A$2:$E$129,4,FALSE))</f>
        <v/>
      </c>
      <c r="AK217" s="506" t="str">
        <f t="shared" si="34"/>
        <v/>
      </c>
      <c r="AL217" s="506" t="str">
        <f t="shared" si="35"/>
        <v/>
      </c>
      <c r="AM217" s="539" t="str">
        <f>IFERROR(IF(F217="","",IF(AH217="Check Data ⚠","Check Data ⚠",VLOOKUP(AL217, 'G-3 Multipliers'!$P$2:$Q$6,2,FALSE))),"")</f>
        <v/>
      </c>
      <c r="AN217" s="512" t="str">
        <f t="shared" si="29"/>
        <v/>
      </c>
      <c r="AO217" s="238"/>
      <c r="AP217" s="239"/>
    </row>
    <row r="218" spans="1:42" x14ac:dyDescent="0.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c r="R218" s="237"/>
      <c r="S218" s="391" t="str">
        <f>IFERROR(INDEX('G-1 All Habitats'!$B$3:$B$129,MATCH(R218,'G-1 All Habitats'!$A$3:$A$129,0)),"")</f>
        <v/>
      </c>
      <c r="T218" s="497" t="str">
        <f t="shared" si="30"/>
        <v/>
      </c>
      <c r="U218" s="498" t="str">
        <f t="shared" si="31"/>
        <v/>
      </c>
      <c r="V218" s="536" t="str">
        <f t="shared" si="27"/>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28"/>
        <v/>
      </c>
      <c r="AE218" s="82"/>
      <c r="AF218" s="82"/>
      <c r="AG218" s="506" t="str">
        <f t="shared" si="32"/>
        <v/>
      </c>
      <c r="AH218" s="520" t="str">
        <f t="shared" si="33"/>
        <v/>
      </c>
      <c r="AI218" s="521" t="str">
        <f>IF(AH218="Check Data","Check Data",IFERROR(VLOOKUP(AH218,'G-4 Temporal multipliers'!$A$4:$C$36,3,FALSE),""))</f>
        <v/>
      </c>
      <c r="AJ218" s="497" t="str">
        <f>IF(S218="","",VLOOKUP(S218,'G-3 Multipliers'!$A$2:$E$129,4,FALSE))</f>
        <v/>
      </c>
      <c r="AK218" s="506" t="str">
        <f t="shared" si="34"/>
        <v/>
      </c>
      <c r="AL218" s="506" t="str">
        <f t="shared" si="35"/>
        <v/>
      </c>
      <c r="AM218" s="539" t="str">
        <f>IFERROR(IF(F218="","",IF(AH218="Check Data ⚠","Check Data ⚠",VLOOKUP(AL218, 'G-3 Multipliers'!$P$2:$Q$6,2,FALSE))),"")</f>
        <v/>
      </c>
      <c r="AN218" s="512" t="str">
        <f t="shared" si="29"/>
        <v/>
      </c>
      <c r="AO218" s="238"/>
      <c r="AP218" s="239"/>
    </row>
    <row r="219" spans="1:42" x14ac:dyDescent="0.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c r="R219" s="237"/>
      <c r="S219" s="391" t="str">
        <f>IFERROR(INDEX('G-1 All Habitats'!$B$3:$B$129,MATCH(R219,'G-1 All Habitats'!$A$3:$A$129,0)),"")</f>
        <v/>
      </c>
      <c r="T219" s="497" t="str">
        <f t="shared" si="30"/>
        <v/>
      </c>
      <c r="U219" s="498" t="str">
        <f t="shared" si="31"/>
        <v/>
      </c>
      <c r="V219" s="536" t="str">
        <f t="shared" si="27"/>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28"/>
        <v/>
      </c>
      <c r="AE219" s="82"/>
      <c r="AF219" s="82"/>
      <c r="AG219" s="506" t="str">
        <f t="shared" si="32"/>
        <v/>
      </c>
      <c r="AH219" s="520" t="str">
        <f t="shared" si="33"/>
        <v/>
      </c>
      <c r="AI219" s="521" t="str">
        <f>IF(AH219="Check Data","Check Data",IFERROR(VLOOKUP(AH219,'G-4 Temporal multipliers'!$A$4:$C$36,3,FALSE),""))</f>
        <v/>
      </c>
      <c r="AJ219" s="497" t="str">
        <f>IF(S219="","",VLOOKUP(S219,'G-3 Multipliers'!$A$2:$E$129,4,FALSE))</f>
        <v/>
      </c>
      <c r="AK219" s="506" t="str">
        <f t="shared" si="34"/>
        <v/>
      </c>
      <c r="AL219" s="506" t="str">
        <f t="shared" si="35"/>
        <v/>
      </c>
      <c r="AM219" s="539" t="str">
        <f>IFERROR(IF(F219="","",IF(AH219="Check Data ⚠","Check Data ⚠",VLOOKUP(AL219, 'G-3 Multipliers'!$P$2:$Q$6,2,FALSE))),"")</f>
        <v/>
      </c>
      <c r="AN219" s="512" t="str">
        <f t="shared" si="29"/>
        <v/>
      </c>
      <c r="AO219" s="238"/>
      <c r="AP219" s="239"/>
    </row>
    <row r="220" spans="1:42" x14ac:dyDescent="0.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c r="R220" s="237"/>
      <c r="S220" s="391" t="str">
        <f>IFERROR(INDEX('G-1 All Habitats'!$B$3:$B$129,MATCH(R220,'G-1 All Habitats'!$A$3:$A$129,0)),"")</f>
        <v/>
      </c>
      <c r="T220" s="497" t="str">
        <f t="shared" si="30"/>
        <v/>
      </c>
      <c r="U220" s="498" t="str">
        <f t="shared" si="31"/>
        <v/>
      </c>
      <c r="V220" s="536" t="str">
        <f t="shared" si="27"/>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28"/>
        <v/>
      </c>
      <c r="AE220" s="82"/>
      <c r="AF220" s="82"/>
      <c r="AG220" s="506" t="str">
        <f t="shared" si="32"/>
        <v/>
      </c>
      <c r="AH220" s="520" t="str">
        <f t="shared" si="33"/>
        <v/>
      </c>
      <c r="AI220" s="521" t="str">
        <f>IF(AH220="Check Data","Check Data",IFERROR(VLOOKUP(AH220,'G-4 Temporal multipliers'!$A$4:$C$36,3,FALSE),""))</f>
        <v/>
      </c>
      <c r="AJ220" s="497" t="str">
        <f>IF(S220="","",VLOOKUP(S220,'G-3 Multipliers'!$A$2:$E$129,4,FALSE))</f>
        <v/>
      </c>
      <c r="AK220" s="506" t="str">
        <f t="shared" si="34"/>
        <v/>
      </c>
      <c r="AL220" s="506" t="str">
        <f t="shared" si="35"/>
        <v/>
      </c>
      <c r="AM220" s="539" t="str">
        <f>IFERROR(IF(F220="","",IF(AH220="Check Data ⚠","Check Data ⚠",VLOOKUP(AL220, 'G-3 Multipliers'!$P$2:$Q$6,2,FALSE))),"")</f>
        <v/>
      </c>
      <c r="AN220" s="512" t="str">
        <f t="shared" si="29"/>
        <v/>
      </c>
      <c r="AO220" s="238"/>
      <c r="AP220" s="239"/>
    </row>
    <row r="221" spans="1:42" x14ac:dyDescent="0.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c r="R221" s="237"/>
      <c r="S221" s="391" t="str">
        <f>IFERROR(INDEX('G-1 All Habitats'!$B$3:$B$129,MATCH(R221,'G-1 All Habitats'!$A$3:$A$129,0)),"")</f>
        <v/>
      </c>
      <c r="T221" s="497" t="str">
        <f t="shared" si="30"/>
        <v/>
      </c>
      <c r="U221" s="498" t="str">
        <f t="shared" si="31"/>
        <v/>
      </c>
      <c r="V221" s="536" t="str">
        <f t="shared" si="27"/>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28"/>
        <v/>
      </c>
      <c r="AE221" s="82"/>
      <c r="AF221" s="82"/>
      <c r="AG221" s="506" t="str">
        <f t="shared" si="32"/>
        <v/>
      </c>
      <c r="AH221" s="520" t="str">
        <f t="shared" si="33"/>
        <v/>
      </c>
      <c r="AI221" s="521" t="str">
        <f>IF(AH221="Check Data","Check Data",IFERROR(VLOOKUP(AH221,'G-4 Temporal multipliers'!$A$4:$C$36,3,FALSE),""))</f>
        <v/>
      </c>
      <c r="AJ221" s="497" t="str">
        <f>IF(S221="","",VLOOKUP(S221,'G-3 Multipliers'!$A$2:$E$129,4,FALSE))</f>
        <v/>
      </c>
      <c r="AK221" s="506" t="str">
        <f t="shared" si="34"/>
        <v/>
      </c>
      <c r="AL221" s="506" t="str">
        <f t="shared" si="35"/>
        <v/>
      </c>
      <c r="AM221" s="539" t="str">
        <f>IFERROR(IF(F221="","",IF(AH221="Check Data ⚠","Check Data ⚠",VLOOKUP(AL221, 'G-3 Multipliers'!$P$2:$Q$6,2,FALSE))),"")</f>
        <v/>
      </c>
      <c r="AN221" s="512" t="str">
        <f t="shared" si="29"/>
        <v/>
      </c>
      <c r="AO221" s="238"/>
      <c r="AP221" s="239"/>
    </row>
    <row r="222" spans="1:42" x14ac:dyDescent="0.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c r="R222" s="237"/>
      <c r="S222" s="391" t="str">
        <f>IFERROR(INDEX('G-1 All Habitats'!$B$3:$B$129,MATCH(R222,'G-1 All Habitats'!$A$3:$A$129,0)),"")</f>
        <v/>
      </c>
      <c r="T222" s="497" t="str">
        <f t="shared" si="30"/>
        <v/>
      </c>
      <c r="U222" s="498" t="str">
        <f t="shared" si="31"/>
        <v/>
      </c>
      <c r="V222" s="536" t="str">
        <f t="shared" si="27"/>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28"/>
        <v/>
      </c>
      <c r="AE222" s="82"/>
      <c r="AF222" s="82"/>
      <c r="AG222" s="506" t="str">
        <f t="shared" si="32"/>
        <v/>
      </c>
      <c r="AH222" s="520" t="str">
        <f t="shared" si="33"/>
        <v/>
      </c>
      <c r="AI222" s="521" t="str">
        <f>IF(AH222="Check Data","Check Data",IFERROR(VLOOKUP(AH222,'G-4 Temporal multipliers'!$A$4:$C$36,3,FALSE),""))</f>
        <v/>
      </c>
      <c r="AJ222" s="497" t="str">
        <f>IF(S222="","",VLOOKUP(S222,'G-3 Multipliers'!$A$2:$E$129,4,FALSE))</f>
        <v/>
      </c>
      <c r="AK222" s="506" t="str">
        <f t="shared" si="34"/>
        <v/>
      </c>
      <c r="AL222" s="506" t="str">
        <f t="shared" si="35"/>
        <v/>
      </c>
      <c r="AM222" s="539" t="str">
        <f>IFERROR(IF(F222="","",IF(AH222="Check Data ⚠","Check Data ⚠",VLOOKUP(AL222, 'G-3 Multipliers'!$P$2:$Q$6,2,FALSE))),"")</f>
        <v/>
      </c>
      <c r="AN222" s="512" t="str">
        <f t="shared" si="29"/>
        <v/>
      </c>
      <c r="AO222" s="238"/>
      <c r="AP222" s="239"/>
    </row>
    <row r="223" spans="1:42" x14ac:dyDescent="0.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c r="R223" s="237"/>
      <c r="S223" s="391" t="str">
        <f>IFERROR(INDEX('G-1 All Habitats'!$B$3:$B$129,MATCH(R223,'G-1 All Habitats'!$A$3:$A$129,0)),"")</f>
        <v/>
      </c>
      <c r="T223" s="497" t="str">
        <f t="shared" si="30"/>
        <v/>
      </c>
      <c r="U223" s="498" t="str">
        <f t="shared" si="31"/>
        <v/>
      </c>
      <c r="V223" s="536" t="str">
        <f t="shared" si="27"/>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28"/>
        <v/>
      </c>
      <c r="AE223" s="82"/>
      <c r="AF223" s="82"/>
      <c r="AG223" s="506" t="str">
        <f t="shared" si="32"/>
        <v/>
      </c>
      <c r="AH223" s="520" t="str">
        <f t="shared" si="33"/>
        <v/>
      </c>
      <c r="AI223" s="521" t="str">
        <f>IF(AH223="Check Data","Check Data",IFERROR(VLOOKUP(AH223,'G-4 Temporal multipliers'!$A$4:$C$36,3,FALSE),""))</f>
        <v/>
      </c>
      <c r="AJ223" s="497" t="str">
        <f>IF(S223="","",VLOOKUP(S223,'G-3 Multipliers'!$A$2:$E$129,4,FALSE))</f>
        <v/>
      </c>
      <c r="AK223" s="506" t="str">
        <f t="shared" si="34"/>
        <v/>
      </c>
      <c r="AL223" s="506" t="str">
        <f t="shared" si="35"/>
        <v/>
      </c>
      <c r="AM223" s="539" t="str">
        <f>IFERROR(IF(F223="","",IF(AH223="Check Data ⚠","Check Data ⚠",VLOOKUP(AL223, 'G-3 Multipliers'!$P$2:$Q$6,2,FALSE))),"")</f>
        <v/>
      </c>
      <c r="AN223" s="512" t="str">
        <f t="shared" si="29"/>
        <v/>
      </c>
      <c r="AO223" s="238"/>
      <c r="AP223" s="239"/>
    </row>
    <row r="224" spans="1:42" x14ac:dyDescent="0.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c r="R224" s="237"/>
      <c r="S224" s="391" t="str">
        <f>IFERROR(INDEX('G-1 All Habitats'!$B$3:$B$129,MATCH(R224,'G-1 All Habitats'!$A$3:$A$129,0)),"")</f>
        <v/>
      </c>
      <c r="T224" s="497" t="str">
        <f t="shared" si="30"/>
        <v/>
      </c>
      <c r="U224" s="498" t="str">
        <f t="shared" si="31"/>
        <v/>
      </c>
      <c r="V224" s="536" t="str">
        <f t="shared" si="27"/>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28"/>
        <v/>
      </c>
      <c r="AE224" s="82"/>
      <c r="AF224" s="82"/>
      <c r="AG224" s="506" t="str">
        <f t="shared" si="32"/>
        <v/>
      </c>
      <c r="AH224" s="520" t="str">
        <f t="shared" si="33"/>
        <v/>
      </c>
      <c r="AI224" s="521" t="str">
        <f>IF(AH224="Check Data","Check Data",IFERROR(VLOOKUP(AH224,'G-4 Temporal multipliers'!$A$4:$C$36,3,FALSE),""))</f>
        <v/>
      </c>
      <c r="AJ224" s="497" t="str">
        <f>IF(S224="","",VLOOKUP(S224,'G-3 Multipliers'!$A$2:$E$129,4,FALSE))</f>
        <v/>
      </c>
      <c r="AK224" s="506" t="str">
        <f t="shared" si="34"/>
        <v/>
      </c>
      <c r="AL224" s="506" t="str">
        <f t="shared" si="35"/>
        <v/>
      </c>
      <c r="AM224" s="539" t="str">
        <f>IFERROR(IF(F224="","",IF(AH224="Check Data ⚠","Check Data ⚠",VLOOKUP(AL224, 'G-3 Multipliers'!$P$2:$Q$6,2,FALSE))),"")</f>
        <v/>
      </c>
      <c r="AN224" s="512" t="str">
        <f t="shared" si="29"/>
        <v/>
      </c>
      <c r="AO224" s="238"/>
      <c r="AP224" s="239"/>
    </row>
    <row r="225" spans="1:42" x14ac:dyDescent="0.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c r="R225" s="237"/>
      <c r="S225" s="391" t="str">
        <f>IFERROR(INDEX('G-1 All Habitats'!$B$3:$B$129,MATCH(R225,'G-1 All Habitats'!$A$3:$A$129,0)),"")</f>
        <v/>
      </c>
      <c r="T225" s="497" t="str">
        <f t="shared" si="30"/>
        <v/>
      </c>
      <c r="U225" s="498" t="str">
        <f t="shared" si="31"/>
        <v/>
      </c>
      <c r="V225" s="536" t="str">
        <f t="shared" si="27"/>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28"/>
        <v/>
      </c>
      <c r="AE225" s="82"/>
      <c r="AF225" s="82"/>
      <c r="AG225" s="506" t="str">
        <f t="shared" si="32"/>
        <v/>
      </c>
      <c r="AH225" s="520" t="str">
        <f t="shared" si="33"/>
        <v/>
      </c>
      <c r="AI225" s="521" t="str">
        <f>IF(AH225="Check Data","Check Data",IFERROR(VLOOKUP(AH225,'G-4 Temporal multipliers'!$A$4:$C$36,3,FALSE),""))</f>
        <v/>
      </c>
      <c r="AJ225" s="497" t="str">
        <f>IF(S225="","",VLOOKUP(S225,'G-3 Multipliers'!$A$2:$E$129,4,FALSE))</f>
        <v/>
      </c>
      <c r="AK225" s="506" t="str">
        <f t="shared" si="34"/>
        <v/>
      </c>
      <c r="AL225" s="506" t="str">
        <f t="shared" si="35"/>
        <v/>
      </c>
      <c r="AM225" s="539" t="str">
        <f>IFERROR(IF(F225="","",IF(AH225="Check Data ⚠","Check Data ⚠",VLOOKUP(AL225, 'G-3 Multipliers'!$P$2:$Q$6,2,FALSE))),"")</f>
        <v/>
      </c>
      <c r="AN225" s="512" t="str">
        <f t="shared" si="29"/>
        <v/>
      </c>
      <c r="AO225" s="238"/>
      <c r="AP225" s="239"/>
    </row>
    <row r="226" spans="1:42" x14ac:dyDescent="0.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c r="R226" s="237"/>
      <c r="S226" s="391" t="str">
        <f>IFERROR(INDEX('G-1 All Habitats'!$B$3:$B$129,MATCH(R226,'G-1 All Habitats'!$A$3:$A$129,0)),"")</f>
        <v/>
      </c>
      <c r="T226" s="497" t="str">
        <f t="shared" si="30"/>
        <v/>
      </c>
      <c r="U226" s="498" t="str">
        <f t="shared" si="31"/>
        <v/>
      </c>
      <c r="V226" s="536" t="str">
        <f t="shared" si="27"/>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28"/>
        <v/>
      </c>
      <c r="AE226" s="82"/>
      <c r="AF226" s="82"/>
      <c r="AG226" s="506" t="str">
        <f t="shared" si="32"/>
        <v/>
      </c>
      <c r="AH226" s="520" t="str">
        <f t="shared" si="33"/>
        <v/>
      </c>
      <c r="AI226" s="521" t="str">
        <f>IF(AH226="Check Data","Check Data",IFERROR(VLOOKUP(AH226,'G-4 Temporal multipliers'!$A$4:$C$36,3,FALSE),""))</f>
        <v/>
      </c>
      <c r="AJ226" s="497" t="str">
        <f>IF(S226="","",VLOOKUP(S226,'G-3 Multipliers'!$A$2:$E$129,4,FALSE))</f>
        <v/>
      </c>
      <c r="AK226" s="506" t="str">
        <f t="shared" si="34"/>
        <v/>
      </c>
      <c r="AL226" s="506" t="str">
        <f t="shared" si="35"/>
        <v/>
      </c>
      <c r="AM226" s="539" t="str">
        <f>IFERROR(IF(F226="","",IF(AH226="Check Data ⚠","Check Data ⚠",VLOOKUP(AL226, 'G-3 Multipliers'!$P$2:$Q$6,2,FALSE))),"")</f>
        <v/>
      </c>
      <c r="AN226" s="512" t="str">
        <f t="shared" si="29"/>
        <v/>
      </c>
      <c r="AO226" s="238"/>
      <c r="AP226" s="239"/>
    </row>
    <row r="227" spans="1:42" x14ac:dyDescent="0.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c r="R227" s="237"/>
      <c r="S227" s="391" t="str">
        <f>IFERROR(INDEX('G-1 All Habitats'!$B$3:$B$129,MATCH(R227,'G-1 All Habitats'!$A$3:$A$129,0)),"")</f>
        <v/>
      </c>
      <c r="T227" s="497" t="str">
        <f t="shared" si="30"/>
        <v/>
      </c>
      <c r="U227" s="498" t="str">
        <f t="shared" si="31"/>
        <v/>
      </c>
      <c r="V227" s="536" t="str">
        <f t="shared" si="27"/>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28"/>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34"/>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29"/>
        <v/>
      </c>
      <c r="AO227" s="238"/>
      <c r="AP227" s="239"/>
    </row>
    <row r="228" spans="1:42" x14ac:dyDescent="0.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c r="R228" s="237"/>
      <c r="S228" s="391" t="str">
        <f>IFERROR(INDEX('G-1 All Habitats'!$B$3:$B$129,MATCH(R228,'G-1 All Habitats'!$A$3:$A$129,0)),"")</f>
        <v/>
      </c>
      <c r="T228" s="497" t="str">
        <f t="shared" si="30"/>
        <v/>
      </c>
      <c r="U228" s="498" t="str">
        <f t="shared" si="31"/>
        <v/>
      </c>
      <c r="V228" s="536" t="str">
        <f t="shared" si="27"/>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28"/>
        <v/>
      </c>
      <c r="AE228" s="82"/>
      <c r="AF228" s="82"/>
      <c r="AG228" s="506" t="str">
        <f t="shared" si="32"/>
        <v/>
      </c>
      <c r="AH228" s="520" t="str">
        <f t="shared" si="33"/>
        <v/>
      </c>
      <c r="AI228" s="521" t="str">
        <f>IF(AH228="Check Data","Check Data",IFERROR(VLOOKUP(AH228,'G-4 Temporal multipliers'!$A$4:$C$36,3,FALSE),""))</f>
        <v/>
      </c>
      <c r="AJ228" s="497" t="str">
        <f>IF(S228="","",VLOOKUP(S228,'G-3 Multipliers'!$A$2:$E$129,4,FALSE))</f>
        <v/>
      </c>
      <c r="AK228" s="506" t="str">
        <f t="shared" si="34"/>
        <v/>
      </c>
      <c r="AL228" s="506" t="str">
        <f t="shared" si="35"/>
        <v/>
      </c>
      <c r="AM228" s="539" t="str">
        <f>IFERROR(IF(F228="","",IF(AH228="Check Data ⚠","Check Data ⚠",VLOOKUP(AL228, 'G-3 Multipliers'!$P$2:$Q$6,2,FALSE))),"")</f>
        <v/>
      </c>
      <c r="AN228" s="512" t="str">
        <f t="shared" si="29"/>
        <v/>
      </c>
      <c r="AO228" s="238"/>
      <c r="AP228" s="239"/>
    </row>
    <row r="229" spans="1:42" x14ac:dyDescent="0.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c r="R229" s="237"/>
      <c r="S229" s="391" t="str">
        <f>IFERROR(INDEX('G-1 All Habitats'!$B$3:$B$129,MATCH(R229,'G-1 All Habitats'!$A$3:$A$129,0)),"")</f>
        <v/>
      </c>
      <c r="T229" s="497" t="str">
        <f t="shared" si="30"/>
        <v/>
      </c>
      <c r="U229" s="498" t="str">
        <f t="shared" si="31"/>
        <v/>
      </c>
      <c r="V229" s="536" t="str">
        <f t="shared" si="27"/>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28"/>
        <v/>
      </c>
      <c r="AE229" s="82"/>
      <c r="AF229" s="82"/>
      <c r="AG229" s="506" t="str">
        <f t="shared" si="32"/>
        <v/>
      </c>
      <c r="AH229" s="520" t="str">
        <f t="shared" si="33"/>
        <v/>
      </c>
      <c r="AI229" s="521" t="str">
        <f>IF(AH229="Check Data","Check Data",IFERROR(VLOOKUP(AH229,'G-4 Temporal multipliers'!$A$4:$C$36,3,FALSE),""))</f>
        <v/>
      </c>
      <c r="AJ229" s="497" t="str">
        <f>IF(S229="","",VLOOKUP(S229,'G-3 Multipliers'!$A$2:$E$129,4,FALSE))</f>
        <v/>
      </c>
      <c r="AK229" s="506" t="str">
        <f t="shared" si="34"/>
        <v/>
      </c>
      <c r="AL229" s="506" t="str">
        <f t="shared" si="35"/>
        <v/>
      </c>
      <c r="AM229" s="539" t="str">
        <f>IFERROR(IF(F229="","",IF(AH229="Check Data ⚠","Check Data ⚠",VLOOKUP(AL229, 'G-3 Multipliers'!$P$2:$Q$6,2,FALSE))),"")</f>
        <v/>
      </c>
      <c r="AN229" s="512" t="str">
        <f t="shared" si="29"/>
        <v/>
      </c>
      <c r="AO229" s="238"/>
      <c r="AP229" s="239"/>
    </row>
    <row r="230" spans="1:42" x14ac:dyDescent="0.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c r="R230" s="237"/>
      <c r="S230" s="391" t="str">
        <f>IFERROR(INDEX('G-1 All Habitats'!$B$3:$B$129,MATCH(R230,'G-1 All Habitats'!$A$3:$A$129,0)),"")</f>
        <v/>
      </c>
      <c r="T230" s="497" t="str">
        <f t="shared" si="30"/>
        <v/>
      </c>
      <c r="U230" s="498" t="str">
        <f t="shared" si="31"/>
        <v/>
      </c>
      <c r="V230" s="536" t="str">
        <f t="shared" si="27"/>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28"/>
        <v/>
      </c>
      <c r="AE230" s="82"/>
      <c r="AF230" s="82"/>
      <c r="AG230" s="506" t="str">
        <f t="shared" si="32"/>
        <v/>
      </c>
      <c r="AH230" s="520" t="str">
        <f t="shared" si="33"/>
        <v/>
      </c>
      <c r="AI230" s="521" t="str">
        <f>IF(AH230="Check Data","Check Data",IFERROR(VLOOKUP(AH230,'G-4 Temporal multipliers'!$A$4:$C$36,3,FALSE),""))</f>
        <v/>
      </c>
      <c r="AJ230" s="497" t="str">
        <f>IF(S230="","",VLOOKUP(S230,'G-3 Multipliers'!$A$2:$E$129,4,FALSE))</f>
        <v/>
      </c>
      <c r="AK230" s="506" t="str">
        <f t="shared" si="34"/>
        <v/>
      </c>
      <c r="AL230" s="506" t="str">
        <f t="shared" si="35"/>
        <v/>
      </c>
      <c r="AM230" s="539" t="str">
        <f>IFERROR(IF(F230="","",IF(AH230="Check Data ⚠","Check Data ⚠",VLOOKUP(AL230, 'G-3 Multipliers'!$P$2:$Q$6,2,FALSE))),"")</f>
        <v/>
      </c>
      <c r="AN230" s="512" t="str">
        <f t="shared" si="29"/>
        <v/>
      </c>
      <c r="AO230" s="238"/>
      <c r="AP230" s="239"/>
    </row>
    <row r="231" spans="1:42" x14ac:dyDescent="0.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c r="R231" s="237"/>
      <c r="S231" s="391" t="str">
        <f>IFERROR(INDEX('G-1 All Habitats'!$B$3:$B$129,MATCH(R231,'G-1 All Habitats'!$A$3:$A$129,0)),"")</f>
        <v/>
      </c>
      <c r="T231" s="497" t="str">
        <f t="shared" si="30"/>
        <v/>
      </c>
      <c r="U231" s="498" t="str">
        <f t="shared" si="31"/>
        <v/>
      </c>
      <c r="V231" s="536" t="str">
        <f t="shared" si="27"/>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28"/>
        <v/>
      </c>
      <c r="AE231" s="82"/>
      <c r="AF231" s="82"/>
      <c r="AG231" s="506" t="str">
        <f t="shared" si="32"/>
        <v/>
      </c>
      <c r="AH231" s="520" t="str">
        <f t="shared" si="33"/>
        <v/>
      </c>
      <c r="AI231" s="521" t="str">
        <f>IF(AH231="Check Data","Check Data",IFERROR(VLOOKUP(AH231,'G-4 Temporal multipliers'!$A$4:$C$36,3,FALSE),""))</f>
        <v/>
      </c>
      <c r="AJ231" s="497" t="str">
        <f>IF(S231="","",VLOOKUP(S231,'G-3 Multipliers'!$A$2:$E$129,4,FALSE))</f>
        <v/>
      </c>
      <c r="AK231" s="506" t="str">
        <f t="shared" si="34"/>
        <v/>
      </c>
      <c r="AL231" s="506" t="str">
        <f t="shared" si="35"/>
        <v/>
      </c>
      <c r="AM231" s="539" t="str">
        <f>IFERROR(IF(F231="","",IF(AH231="Check Data ⚠","Check Data ⚠",VLOOKUP(AL231, 'G-3 Multipliers'!$P$2:$Q$6,2,FALSE))),"")</f>
        <v/>
      </c>
      <c r="AN231" s="512" t="str">
        <f t="shared" si="29"/>
        <v/>
      </c>
      <c r="AO231" s="238"/>
      <c r="AP231" s="239"/>
    </row>
    <row r="232" spans="1:42" x14ac:dyDescent="0.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c r="R232" s="237"/>
      <c r="S232" s="391" t="str">
        <f>IFERROR(INDEX('G-1 All Habitats'!$B$3:$B$129,MATCH(R232,'G-1 All Habitats'!$A$3:$A$129,0)),"")</f>
        <v/>
      </c>
      <c r="T232" s="497" t="str">
        <f t="shared" si="30"/>
        <v/>
      </c>
      <c r="U232" s="498" t="str">
        <f t="shared" si="31"/>
        <v/>
      </c>
      <c r="V232" s="536" t="str">
        <f t="shared" si="27"/>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28"/>
        <v/>
      </c>
      <c r="AE232" s="82"/>
      <c r="AF232" s="82"/>
      <c r="AG232" s="506" t="str">
        <f t="shared" si="32"/>
        <v/>
      </c>
      <c r="AH232" s="520" t="str">
        <f t="shared" si="33"/>
        <v/>
      </c>
      <c r="AI232" s="521" t="str">
        <f>IF(AH232="Check Data","Check Data",IFERROR(VLOOKUP(AH232,'G-4 Temporal multipliers'!$A$4:$C$36,3,FALSE),""))</f>
        <v/>
      </c>
      <c r="AJ232" s="497" t="str">
        <f>IF(S232="","",VLOOKUP(S232,'G-3 Multipliers'!$A$2:$E$129,4,FALSE))</f>
        <v/>
      </c>
      <c r="AK232" s="506" t="str">
        <f t="shared" si="34"/>
        <v/>
      </c>
      <c r="AL232" s="506" t="str">
        <f t="shared" si="35"/>
        <v/>
      </c>
      <c r="AM232" s="539" t="str">
        <f>IFERROR(IF(F232="","",IF(AH232="Check Data ⚠","Check Data ⚠",VLOOKUP(AL232, 'G-3 Multipliers'!$P$2:$Q$6,2,FALSE))),"")</f>
        <v/>
      </c>
      <c r="AN232" s="512" t="str">
        <f t="shared" si="29"/>
        <v/>
      </c>
      <c r="AO232" s="238"/>
      <c r="AP232" s="239"/>
    </row>
    <row r="233" spans="1:42" x14ac:dyDescent="0.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c r="R233" s="237"/>
      <c r="S233" s="391" t="str">
        <f>IFERROR(INDEX('G-1 All Habitats'!$B$3:$B$129,MATCH(R233,'G-1 All Habitats'!$A$3:$A$129,0)),"")</f>
        <v/>
      </c>
      <c r="T233" s="497" t="str">
        <f t="shared" si="30"/>
        <v/>
      </c>
      <c r="U233" s="498" t="str">
        <f t="shared" si="31"/>
        <v/>
      </c>
      <c r="V233" s="536" t="str">
        <f t="shared" si="27"/>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28"/>
        <v/>
      </c>
      <c r="AE233" s="82"/>
      <c r="AF233" s="82"/>
      <c r="AG233" s="506" t="str">
        <f t="shared" si="32"/>
        <v/>
      </c>
      <c r="AH233" s="520" t="str">
        <f t="shared" si="33"/>
        <v/>
      </c>
      <c r="AI233" s="521" t="str">
        <f>IF(AH233="Check Data","Check Data",IFERROR(VLOOKUP(AH233,'G-4 Temporal multipliers'!$A$4:$C$36,3,FALSE),""))</f>
        <v/>
      </c>
      <c r="AJ233" s="497" t="str">
        <f>IF(S233="","",VLOOKUP(S233,'G-3 Multipliers'!$A$2:$E$129,4,FALSE))</f>
        <v/>
      </c>
      <c r="AK233" s="506" t="str">
        <f t="shared" si="34"/>
        <v/>
      </c>
      <c r="AL233" s="506" t="str">
        <f t="shared" si="35"/>
        <v/>
      </c>
      <c r="AM233" s="539" t="str">
        <f>IFERROR(IF(F233="","",IF(AH233="Check Data ⚠","Check Data ⚠",VLOOKUP(AL233, 'G-3 Multipliers'!$P$2:$Q$6,2,FALSE))),"")</f>
        <v/>
      </c>
      <c r="AN233" s="512" t="str">
        <f t="shared" si="29"/>
        <v/>
      </c>
      <c r="AO233" s="238"/>
      <c r="AP233" s="239"/>
    </row>
    <row r="234" spans="1:42" x14ac:dyDescent="0.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c r="R234" s="237"/>
      <c r="S234" s="391" t="str">
        <f>IFERROR(INDEX('G-1 All Habitats'!$B$3:$B$129,MATCH(R234,'G-1 All Habitats'!$A$3:$A$129,0)),"")</f>
        <v/>
      </c>
      <c r="T234" s="497" t="str">
        <f t="shared" si="30"/>
        <v/>
      </c>
      <c r="U234" s="498" t="str">
        <f t="shared" si="31"/>
        <v/>
      </c>
      <c r="V234" s="536" t="str">
        <f t="shared" si="27"/>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28"/>
        <v/>
      </c>
      <c r="AE234" s="82"/>
      <c r="AF234" s="82"/>
      <c r="AG234" s="506" t="str">
        <f t="shared" si="32"/>
        <v/>
      </c>
      <c r="AH234" s="520" t="str">
        <f t="shared" si="33"/>
        <v/>
      </c>
      <c r="AI234" s="521" t="str">
        <f>IF(AH234="Check Data","Check Data",IFERROR(VLOOKUP(AH234,'G-4 Temporal multipliers'!$A$4:$C$36,3,FALSE),""))</f>
        <v/>
      </c>
      <c r="AJ234" s="497" t="str">
        <f>IF(S234="","",VLOOKUP(S234,'G-3 Multipliers'!$A$2:$E$129,4,FALSE))</f>
        <v/>
      </c>
      <c r="AK234" s="506" t="str">
        <f t="shared" si="34"/>
        <v/>
      </c>
      <c r="AL234" s="506" t="str">
        <f t="shared" si="35"/>
        <v/>
      </c>
      <c r="AM234" s="539" t="str">
        <f>IFERROR(IF(F234="","",IF(AH234="Check Data ⚠","Check Data ⚠",VLOOKUP(AL234, 'G-3 Multipliers'!$P$2:$Q$6,2,FALSE))),"")</f>
        <v/>
      </c>
      <c r="AN234" s="512" t="str">
        <f t="shared" si="29"/>
        <v/>
      </c>
      <c r="AO234" s="238"/>
      <c r="AP234" s="239"/>
    </row>
    <row r="235" spans="1:42" x14ac:dyDescent="0.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c r="R235" s="237"/>
      <c r="S235" s="391" t="str">
        <f>IFERROR(INDEX('G-1 All Habitats'!$B$3:$B$129,MATCH(R235,'G-1 All Habitats'!$A$3:$A$129,0)),"")</f>
        <v/>
      </c>
      <c r="T235" s="497" t="str">
        <f t="shared" si="30"/>
        <v/>
      </c>
      <c r="U235" s="498" t="str">
        <f t="shared" si="31"/>
        <v/>
      </c>
      <c r="V235" s="536" t="str">
        <f t="shared" si="27"/>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28"/>
        <v/>
      </c>
      <c r="AE235" s="82"/>
      <c r="AF235" s="82"/>
      <c r="AG235" s="506" t="str">
        <f t="shared" si="32"/>
        <v/>
      </c>
      <c r="AH235" s="520" t="str">
        <f t="shared" si="33"/>
        <v/>
      </c>
      <c r="AI235" s="521" t="str">
        <f>IF(AH235="Check Data","Check Data",IFERROR(VLOOKUP(AH235,'G-4 Temporal multipliers'!$A$4:$C$36,3,FALSE),""))</f>
        <v/>
      </c>
      <c r="AJ235" s="497" t="str">
        <f>IF(S235="","",VLOOKUP(S235,'G-3 Multipliers'!$A$2:$E$129,4,FALSE))</f>
        <v/>
      </c>
      <c r="AK235" s="506" t="str">
        <f t="shared" si="34"/>
        <v/>
      </c>
      <c r="AL235" s="506" t="str">
        <f t="shared" si="35"/>
        <v/>
      </c>
      <c r="AM235" s="539" t="str">
        <f>IFERROR(IF(F235="","",IF(AH235="Check Data ⚠","Check Data ⚠",VLOOKUP(AL235, 'G-3 Multipliers'!$P$2:$Q$6,2,FALSE))),"")</f>
        <v/>
      </c>
      <c r="AN235" s="512" t="str">
        <f t="shared" si="29"/>
        <v/>
      </c>
      <c r="AO235" s="238"/>
      <c r="AP235" s="239"/>
    </row>
    <row r="236" spans="1:42" x14ac:dyDescent="0.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c r="R236" s="237"/>
      <c r="S236" s="391" t="str">
        <f>IFERROR(INDEX('G-1 All Habitats'!$B$3:$B$129,MATCH(R236,'G-1 All Habitats'!$A$3:$A$129,0)),"")</f>
        <v/>
      </c>
      <c r="T236" s="497" t="str">
        <f t="shared" si="30"/>
        <v/>
      </c>
      <c r="U236" s="498" t="str">
        <f t="shared" si="31"/>
        <v/>
      </c>
      <c r="V236" s="536" t="str">
        <f t="shared" si="27"/>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28"/>
        <v/>
      </c>
      <c r="AE236" s="82"/>
      <c r="AF236" s="82"/>
      <c r="AG236" s="506" t="str">
        <f t="shared" si="32"/>
        <v/>
      </c>
      <c r="AH236" s="520" t="str">
        <f t="shared" si="33"/>
        <v/>
      </c>
      <c r="AI236" s="521" t="str">
        <f>IF(AH236="Check Data","Check Data",IFERROR(VLOOKUP(AH236,'G-4 Temporal multipliers'!$A$4:$C$36,3,FALSE),""))</f>
        <v/>
      </c>
      <c r="AJ236" s="497" t="str">
        <f>IF(S236="","",VLOOKUP(S236,'G-3 Multipliers'!$A$2:$E$129,4,FALSE))</f>
        <v/>
      </c>
      <c r="AK236" s="506" t="str">
        <f t="shared" si="34"/>
        <v/>
      </c>
      <c r="AL236" s="506" t="str">
        <f t="shared" si="35"/>
        <v/>
      </c>
      <c r="AM236" s="539" t="str">
        <f>IFERROR(IF(F236="","",IF(AH236="Check Data ⚠","Check Data ⚠",VLOOKUP(AL236, 'G-3 Multipliers'!$P$2:$Q$6,2,FALSE))),"")</f>
        <v/>
      </c>
      <c r="AN236" s="512" t="str">
        <f t="shared" si="29"/>
        <v/>
      </c>
      <c r="AO236" s="238"/>
      <c r="AP236" s="239"/>
    </row>
    <row r="237" spans="1:42" x14ac:dyDescent="0.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c r="R237" s="237"/>
      <c r="S237" s="391" t="str">
        <f>IFERROR(INDEX('G-1 All Habitats'!$B$3:$B$129,MATCH(R237,'G-1 All Habitats'!$A$3:$A$129,0)),"")</f>
        <v/>
      </c>
      <c r="T237" s="497" t="str">
        <f t="shared" si="30"/>
        <v/>
      </c>
      <c r="U237" s="498" t="str">
        <f t="shared" si="31"/>
        <v/>
      </c>
      <c r="V237" s="536" t="str">
        <f t="shared" si="27"/>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28"/>
        <v/>
      </c>
      <c r="AE237" s="82"/>
      <c r="AF237" s="82"/>
      <c r="AG237" s="506" t="str">
        <f t="shared" si="32"/>
        <v/>
      </c>
      <c r="AH237" s="520" t="str">
        <f t="shared" si="33"/>
        <v/>
      </c>
      <c r="AI237" s="521" t="str">
        <f>IF(AH237="Check Data","Check Data",IFERROR(VLOOKUP(AH237,'G-4 Temporal multipliers'!$A$4:$C$36,3,FALSE),""))</f>
        <v/>
      </c>
      <c r="AJ237" s="497" t="str">
        <f>IF(S237="","",VLOOKUP(S237,'G-3 Multipliers'!$A$2:$E$129,4,FALSE))</f>
        <v/>
      </c>
      <c r="AK237" s="506" t="str">
        <f t="shared" si="34"/>
        <v/>
      </c>
      <c r="AL237" s="506" t="str">
        <f t="shared" si="35"/>
        <v/>
      </c>
      <c r="AM237" s="539" t="str">
        <f>IFERROR(IF(F237="","",IF(AH237="Check Data ⚠","Check Data ⚠",VLOOKUP(AL237, 'G-3 Multipliers'!$P$2:$Q$6,2,FALSE))),"")</f>
        <v/>
      </c>
      <c r="AN237" s="512" t="str">
        <f t="shared" si="29"/>
        <v/>
      </c>
      <c r="AO237" s="238"/>
      <c r="AP237" s="239"/>
    </row>
    <row r="238" spans="1:42" x14ac:dyDescent="0.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c r="R238" s="237"/>
      <c r="S238" s="391" t="str">
        <f>IFERROR(INDEX('G-1 All Habitats'!$B$3:$B$129,MATCH(R238,'G-1 All Habitats'!$A$3:$A$129,0)),"")</f>
        <v/>
      </c>
      <c r="T238" s="497" t="str">
        <f t="shared" si="30"/>
        <v/>
      </c>
      <c r="U238" s="498" t="str">
        <f t="shared" si="31"/>
        <v/>
      </c>
      <c r="V238" s="536" t="str">
        <f t="shared" si="27"/>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28"/>
        <v/>
      </c>
      <c r="AE238" s="82"/>
      <c r="AF238" s="82"/>
      <c r="AG238" s="506" t="str">
        <f t="shared" si="32"/>
        <v/>
      </c>
      <c r="AH238" s="520" t="str">
        <f t="shared" si="33"/>
        <v/>
      </c>
      <c r="AI238" s="521" t="str">
        <f>IF(AH238="Check Data","Check Data",IFERROR(VLOOKUP(AH238,'G-4 Temporal multipliers'!$A$4:$C$36,3,FALSE),""))</f>
        <v/>
      </c>
      <c r="AJ238" s="497" t="str">
        <f>IF(S238="","",VLOOKUP(S238,'G-3 Multipliers'!$A$2:$E$129,4,FALSE))</f>
        <v/>
      </c>
      <c r="AK238" s="506" t="str">
        <f t="shared" si="34"/>
        <v/>
      </c>
      <c r="AL238" s="506" t="str">
        <f t="shared" si="35"/>
        <v/>
      </c>
      <c r="AM238" s="539" t="str">
        <f>IFERROR(IF(F238="","",IF(AH238="Check Data ⚠","Check Data ⚠",VLOOKUP(AL238, 'G-3 Multipliers'!$P$2:$Q$6,2,FALSE))),"")</f>
        <v/>
      </c>
      <c r="AN238" s="512" t="str">
        <f t="shared" si="29"/>
        <v/>
      </c>
      <c r="AO238" s="238"/>
      <c r="AP238" s="239"/>
    </row>
    <row r="239" spans="1:42" x14ac:dyDescent="0.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c r="R239" s="237"/>
      <c r="S239" s="391" t="str">
        <f>IFERROR(INDEX('G-1 All Habitats'!$B$3:$B$129,MATCH(R239,'G-1 All Habitats'!$A$3:$A$129,0)),"")</f>
        <v/>
      </c>
      <c r="T239" s="497" t="str">
        <f t="shared" si="30"/>
        <v/>
      </c>
      <c r="U239" s="498" t="str">
        <f t="shared" si="31"/>
        <v/>
      </c>
      <c r="V239" s="536" t="str">
        <f t="shared" si="27"/>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28"/>
        <v/>
      </c>
      <c r="AE239" s="82"/>
      <c r="AF239" s="82"/>
      <c r="AG239" s="506" t="str">
        <f t="shared" si="32"/>
        <v/>
      </c>
      <c r="AH239" s="520" t="str">
        <f t="shared" si="33"/>
        <v/>
      </c>
      <c r="AI239" s="521" t="str">
        <f>IF(AH239="Check Data","Check Data",IFERROR(VLOOKUP(AH239,'G-4 Temporal multipliers'!$A$4:$C$36,3,FALSE),""))</f>
        <v/>
      </c>
      <c r="AJ239" s="497" t="str">
        <f>IF(S239="","",VLOOKUP(S239,'G-3 Multipliers'!$A$2:$E$129,4,FALSE))</f>
        <v/>
      </c>
      <c r="AK239" s="506" t="str">
        <f t="shared" si="34"/>
        <v/>
      </c>
      <c r="AL239" s="506" t="str">
        <f t="shared" si="35"/>
        <v/>
      </c>
      <c r="AM239" s="539" t="str">
        <f>IFERROR(IF(F239="","",IF(AH239="Check Data ⚠","Check Data ⚠",VLOOKUP(AL239, 'G-3 Multipliers'!$P$2:$Q$6,2,FALSE))),"")</f>
        <v/>
      </c>
      <c r="AN239" s="512" t="str">
        <f t="shared" si="29"/>
        <v/>
      </c>
      <c r="AO239" s="238"/>
      <c r="AP239" s="239"/>
    </row>
    <row r="240" spans="1:42" x14ac:dyDescent="0.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c r="R240" s="237"/>
      <c r="S240" s="391" t="str">
        <f>IFERROR(INDEX('G-1 All Habitats'!$B$3:$B$129,MATCH(R240,'G-1 All Habitats'!$A$3:$A$129,0)),"")</f>
        <v/>
      </c>
      <c r="T240" s="497" t="str">
        <f t="shared" si="30"/>
        <v/>
      </c>
      <c r="U240" s="498" t="str">
        <f t="shared" si="31"/>
        <v/>
      </c>
      <c r="V240" s="536" t="str">
        <f t="shared" si="27"/>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28"/>
        <v/>
      </c>
      <c r="AE240" s="82"/>
      <c r="AF240" s="82"/>
      <c r="AG240" s="506" t="str">
        <f t="shared" si="32"/>
        <v/>
      </c>
      <c r="AH240" s="520" t="str">
        <f t="shared" si="33"/>
        <v/>
      </c>
      <c r="AI240" s="521" t="str">
        <f>IF(AH240="Check Data","Check Data",IFERROR(VLOOKUP(AH240,'G-4 Temporal multipliers'!$A$4:$C$36,3,FALSE),""))</f>
        <v/>
      </c>
      <c r="AJ240" s="497" t="str">
        <f>IF(S240="","",VLOOKUP(S240,'G-3 Multipliers'!$A$2:$E$129,4,FALSE))</f>
        <v/>
      </c>
      <c r="AK240" s="506" t="str">
        <f t="shared" si="34"/>
        <v/>
      </c>
      <c r="AL240" s="506" t="str">
        <f t="shared" si="35"/>
        <v/>
      </c>
      <c r="AM240" s="539" t="str">
        <f>IFERROR(IF(F240="","",IF(AH240="Check Data ⚠","Check Data ⚠",VLOOKUP(AL240, 'G-3 Multipliers'!$P$2:$Q$6,2,FALSE))),"")</f>
        <v/>
      </c>
      <c r="AN240" s="512" t="str">
        <f t="shared" si="29"/>
        <v/>
      </c>
      <c r="AO240" s="238"/>
      <c r="AP240" s="239"/>
    </row>
    <row r="241" spans="1:42" x14ac:dyDescent="0.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c r="R241" s="237"/>
      <c r="S241" s="391" t="str">
        <f>IFERROR(INDEX('G-1 All Habitats'!$B$3:$B$129,MATCH(R241,'G-1 All Habitats'!$A$3:$A$129,0)),"")</f>
        <v/>
      </c>
      <c r="T241" s="497" t="str">
        <f t="shared" si="30"/>
        <v/>
      </c>
      <c r="U241" s="498" t="str">
        <f t="shared" si="31"/>
        <v/>
      </c>
      <c r="V241" s="536" t="str">
        <f t="shared" si="27"/>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28"/>
        <v/>
      </c>
      <c r="AE241" s="82"/>
      <c r="AF241" s="82"/>
      <c r="AG241" s="506" t="str">
        <f t="shared" si="32"/>
        <v/>
      </c>
      <c r="AH241" s="520" t="str">
        <f t="shared" si="33"/>
        <v/>
      </c>
      <c r="AI241" s="521" t="str">
        <f>IF(AH241="Check Data","Check Data",IFERROR(VLOOKUP(AH241,'G-4 Temporal multipliers'!$A$4:$C$36,3,FALSE),""))</f>
        <v/>
      </c>
      <c r="AJ241" s="497" t="str">
        <f>IF(S241="","",VLOOKUP(S241,'G-3 Multipliers'!$A$2:$E$129,4,FALSE))</f>
        <v/>
      </c>
      <c r="AK241" s="506" t="str">
        <f t="shared" si="34"/>
        <v/>
      </c>
      <c r="AL241" s="506" t="str">
        <f t="shared" si="35"/>
        <v/>
      </c>
      <c r="AM241" s="539" t="str">
        <f>IFERROR(IF(F241="","",IF(AH241="Check Data ⚠","Check Data ⚠",VLOOKUP(AL241, 'G-3 Multipliers'!$P$2:$Q$6,2,FALSE))),"")</f>
        <v/>
      </c>
      <c r="AN241" s="512" t="str">
        <f t="shared" si="29"/>
        <v/>
      </c>
      <c r="AO241" s="238"/>
      <c r="AP241" s="239"/>
    </row>
    <row r="242" spans="1:42" x14ac:dyDescent="0.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c r="R242" s="237"/>
      <c r="S242" s="391" t="str">
        <f>IFERROR(INDEX('G-1 All Habitats'!$B$3:$B$129,MATCH(R242,'G-1 All Habitats'!$A$3:$A$129,0)),"")</f>
        <v/>
      </c>
      <c r="T242" s="497" t="str">
        <f t="shared" si="30"/>
        <v/>
      </c>
      <c r="U242" s="498" t="str">
        <f t="shared" si="31"/>
        <v/>
      </c>
      <c r="V242" s="536" t="str">
        <f t="shared" si="27"/>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28"/>
        <v/>
      </c>
      <c r="AE242" s="82"/>
      <c r="AF242" s="82"/>
      <c r="AG242" s="506" t="str">
        <f t="shared" si="32"/>
        <v/>
      </c>
      <c r="AH242" s="520" t="str">
        <f t="shared" si="33"/>
        <v/>
      </c>
      <c r="AI242" s="521" t="str">
        <f>IF(AH242="Check Data","Check Data",IFERROR(VLOOKUP(AH242,'G-4 Temporal multipliers'!$A$4:$C$36,3,FALSE),""))</f>
        <v/>
      </c>
      <c r="AJ242" s="497" t="str">
        <f>IF(S242="","",VLOOKUP(S242,'G-3 Multipliers'!$A$2:$E$129,4,FALSE))</f>
        <v/>
      </c>
      <c r="AK242" s="506" t="str">
        <f t="shared" si="34"/>
        <v/>
      </c>
      <c r="AL242" s="506" t="str">
        <f t="shared" si="35"/>
        <v/>
      </c>
      <c r="AM242" s="539" t="str">
        <f>IFERROR(IF(F242="","",IF(AH242="Check Data ⚠","Check Data ⚠",VLOOKUP(AL242, 'G-3 Multipliers'!$P$2:$Q$6,2,FALSE))),"")</f>
        <v/>
      </c>
      <c r="AN242" s="512" t="str">
        <f t="shared" si="29"/>
        <v/>
      </c>
      <c r="AO242" s="238"/>
      <c r="AP242" s="239"/>
    </row>
    <row r="243" spans="1:42" x14ac:dyDescent="0.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c r="R243" s="237"/>
      <c r="S243" s="391" t="str">
        <f>IFERROR(INDEX('G-1 All Habitats'!$B$3:$B$129,MATCH(R243,'G-1 All Habitats'!$A$3:$A$129,0)),"")</f>
        <v/>
      </c>
      <c r="T243" s="497" t="str">
        <f t="shared" si="30"/>
        <v/>
      </c>
      <c r="U243" s="498" t="str">
        <f t="shared" si="31"/>
        <v/>
      </c>
      <c r="V243" s="536" t="str">
        <f t="shared" si="27"/>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28"/>
        <v/>
      </c>
      <c r="AE243" s="82"/>
      <c r="AF243" s="82"/>
      <c r="AG243" s="506" t="str">
        <f t="shared" si="32"/>
        <v/>
      </c>
      <c r="AH243" s="520" t="str">
        <f t="shared" si="33"/>
        <v/>
      </c>
      <c r="AI243" s="521" t="str">
        <f>IF(AH243="Check Data","Check Data",IFERROR(VLOOKUP(AH243,'G-4 Temporal multipliers'!$A$4:$C$36,3,FALSE),""))</f>
        <v/>
      </c>
      <c r="AJ243" s="497" t="str">
        <f>IF(S243="","",VLOOKUP(S243,'G-3 Multipliers'!$A$2:$E$129,4,FALSE))</f>
        <v/>
      </c>
      <c r="AK243" s="506" t="str">
        <f t="shared" si="34"/>
        <v/>
      </c>
      <c r="AL243" s="506" t="str">
        <f t="shared" si="35"/>
        <v/>
      </c>
      <c r="AM243" s="539" t="str">
        <f>IFERROR(IF(F243="","",IF(AH243="Check Data ⚠","Check Data ⚠",VLOOKUP(AL243, 'G-3 Multipliers'!$P$2:$Q$6,2,FALSE))),"")</f>
        <v/>
      </c>
      <c r="AN243" s="512" t="str">
        <f t="shared" si="29"/>
        <v/>
      </c>
      <c r="AO243" s="238"/>
      <c r="AP243" s="239"/>
    </row>
    <row r="244" spans="1:42" x14ac:dyDescent="0.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c r="R244" s="237"/>
      <c r="S244" s="391" t="str">
        <f>IFERROR(INDEX('G-1 All Habitats'!$B$3:$B$129,MATCH(R244,'G-1 All Habitats'!$A$3:$A$129,0)),"")</f>
        <v/>
      </c>
      <c r="T244" s="497" t="str">
        <f t="shared" si="30"/>
        <v/>
      </c>
      <c r="U244" s="498" t="str">
        <f t="shared" si="31"/>
        <v/>
      </c>
      <c r="V244" s="536" t="str">
        <f t="shared" si="27"/>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28"/>
        <v/>
      </c>
      <c r="AE244" s="82"/>
      <c r="AF244" s="82"/>
      <c r="AG244" s="506" t="str">
        <f t="shared" si="32"/>
        <v/>
      </c>
      <c r="AH244" s="520" t="str">
        <f t="shared" si="33"/>
        <v/>
      </c>
      <c r="AI244" s="521" t="str">
        <f>IF(AH244="Check Data","Check Data",IFERROR(VLOOKUP(AH244,'G-4 Temporal multipliers'!$A$4:$C$36,3,FALSE),""))</f>
        <v/>
      </c>
      <c r="AJ244" s="497" t="str">
        <f>IF(S244="","",VLOOKUP(S244,'G-3 Multipliers'!$A$2:$E$129,4,FALSE))</f>
        <v/>
      </c>
      <c r="AK244" s="506" t="str">
        <f t="shared" si="34"/>
        <v/>
      </c>
      <c r="AL244" s="506" t="str">
        <f t="shared" si="35"/>
        <v/>
      </c>
      <c r="AM244" s="539" t="str">
        <f>IFERROR(IF(F244="","",IF(AH244="Check Data ⚠","Check Data ⚠",VLOOKUP(AL244, 'G-3 Multipliers'!$P$2:$Q$6,2,FALSE))),"")</f>
        <v/>
      </c>
      <c r="AN244" s="512" t="str">
        <f t="shared" si="29"/>
        <v/>
      </c>
      <c r="AO244" s="238"/>
      <c r="AP244" s="239"/>
    </row>
    <row r="245" spans="1:42" x14ac:dyDescent="0.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c r="R245" s="237"/>
      <c r="S245" s="391" t="str">
        <f>IFERROR(INDEX('G-1 All Habitats'!$B$3:$B$129,MATCH(R245,'G-1 All Habitats'!$A$3:$A$129,0)),"")</f>
        <v/>
      </c>
      <c r="T245" s="497" t="str">
        <f t="shared" si="30"/>
        <v/>
      </c>
      <c r="U245" s="498" t="str">
        <f t="shared" si="31"/>
        <v/>
      </c>
      <c r="V245" s="536" t="str">
        <f t="shared" si="27"/>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28"/>
        <v/>
      </c>
      <c r="AE245" s="82"/>
      <c r="AF245" s="82"/>
      <c r="AG245" s="506" t="str">
        <f t="shared" si="32"/>
        <v/>
      </c>
      <c r="AH245" s="520" t="str">
        <f t="shared" si="33"/>
        <v/>
      </c>
      <c r="AI245" s="521" t="str">
        <f>IF(AH245="Check Data","Check Data",IFERROR(VLOOKUP(AH245,'G-4 Temporal multipliers'!$A$4:$C$36,3,FALSE),""))</f>
        <v/>
      </c>
      <c r="AJ245" s="497" t="str">
        <f>IF(S245="","",VLOOKUP(S245,'G-3 Multipliers'!$A$2:$E$129,4,FALSE))</f>
        <v/>
      </c>
      <c r="AK245" s="506" t="str">
        <f t="shared" si="34"/>
        <v/>
      </c>
      <c r="AL245" s="506" t="str">
        <f t="shared" si="35"/>
        <v/>
      </c>
      <c r="AM245" s="539" t="str">
        <f>IFERROR(IF(F245="","",IF(AH245="Check Data ⚠","Check Data ⚠",VLOOKUP(AL245, 'G-3 Multipliers'!$P$2:$Q$6,2,FALSE))),"")</f>
        <v/>
      </c>
      <c r="AN245" s="512" t="str">
        <f t="shared" si="29"/>
        <v/>
      </c>
      <c r="AO245" s="238"/>
      <c r="AP245" s="239"/>
    </row>
    <row r="246" spans="1:42" x14ac:dyDescent="0.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c r="R246" s="237"/>
      <c r="S246" s="391" t="str">
        <f>IFERROR(INDEX('G-1 All Habitats'!$B$3:$B$129,MATCH(R246,'G-1 All Habitats'!$A$3:$A$129,0)),"")</f>
        <v/>
      </c>
      <c r="T246" s="497" t="str">
        <f t="shared" si="30"/>
        <v/>
      </c>
      <c r="U246" s="498" t="str">
        <f t="shared" si="31"/>
        <v/>
      </c>
      <c r="V246" s="536" t="str">
        <f t="shared" si="27"/>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28"/>
        <v/>
      </c>
      <c r="AE246" s="82"/>
      <c r="AF246" s="82"/>
      <c r="AG246" s="506" t="str">
        <f t="shared" si="32"/>
        <v/>
      </c>
      <c r="AH246" s="520" t="str">
        <f t="shared" si="33"/>
        <v/>
      </c>
      <c r="AI246" s="521" t="str">
        <f>IF(AH246="Check Data","Check Data",IFERROR(VLOOKUP(AH246,'G-4 Temporal multipliers'!$A$4:$C$36,3,FALSE),""))</f>
        <v/>
      </c>
      <c r="AJ246" s="497" t="str">
        <f>IF(S246="","",VLOOKUP(S246,'G-3 Multipliers'!$A$2:$E$129,4,FALSE))</f>
        <v/>
      </c>
      <c r="AK246" s="506" t="str">
        <f t="shared" si="34"/>
        <v/>
      </c>
      <c r="AL246" s="506" t="str">
        <f t="shared" si="35"/>
        <v/>
      </c>
      <c r="AM246" s="539" t="str">
        <f>IFERROR(IF(F246="","",IF(AH246="Check Data ⚠","Check Data ⚠",VLOOKUP(AL246, 'G-3 Multipliers'!$P$2:$Q$6,2,FALSE))),"")</f>
        <v/>
      </c>
      <c r="AN246" s="512" t="str">
        <f t="shared" si="29"/>
        <v/>
      </c>
      <c r="AO246" s="238"/>
      <c r="AP246" s="239"/>
    </row>
    <row r="247" spans="1:42" x14ac:dyDescent="0.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c r="R247" s="237"/>
      <c r="S247" s="391" t="str">
        <f>IFERROR(INDEX('G-1 All Habitats'!$B$3:$B$129,MATCH(R247,'G-1 All Habitats'!$A$3:$A$129,0)),"")</f>
        <v/>
      </c>
      <c r="T247" s="497" t="str">
        <f t="shared" si="30"/>
        <v/>
      </c>
      <c r="U247" s="498" t="str">
        <f t="shared" si="31"/>
        <v/>
      </c>
      <c r="V247" s="536" t="str">
        <f t="shared" si="27"/>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28"/>
        <v/>
      </c>
      <c r="AE247" s="82"/>
      <c r="AF247" s="82"/>
      <c r="AG247" s="506" t="str">
        <f t="shared" si="32"/>
        <v/>
      </c>
      <c r="AH247" s="520" t="str">
        <f t="shared" si="33"/>
        <v/>
      </c>
      <c r="AI247" s="521" t="str">
        <f>IF(AH247="Check Data","Check Data",IFERROR(VLOOKUP(AH247,'G-4 Temporal multipliers'!$A$4:$C$36,3,FALSE),""))</f>
        <v/>
      </c>
      <c r="AJ247" s="497" t="str">
        <f>IF(S247="","",VLOOKUP(S247,'G-3 Multipliers'!$A$2:$E$129,4,FALSE))</f>
        <v/>
      </c>
      <c r="AK247" s="506" t="str">
        <f t="shared" si="34"/>
        <v/>
      </c>
      <c r="AL247" s="506" t="str">
        <f t="shared" si="35"/>
        <v/>
      </c>
      <c r="AM247" s="539" t="str">
        <f>IFERROR(IF(F247="","",IF(AH247="Check Data ⚠","Check Data ⚠",VLOOKUP(AL247, 'G-3 Multipliers'!$P$2:$Q$6,2,FALSE))),"")</f>
        <v/>
      </c>
      <c r="AN247" s="512" t="str">
        <f t="shared" si="29"/>
        <v/>
      </c>
      <c r="AO247" s="238"/>
      <c r="AP247" s="239"/>
    </row>
    <row r="248" spans="1:42" x14ac:dyDescent="0.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c r="R248" s="237"/>
      <c r="S248" s="391" t="str">
        <f>IFERROR(INDEX('G-1 All Habitats'!$B$3:$B$129,MATCH(R248,'G-1 All Habitats'!$A$3:$A$129,0)),"")</f>
        <v/>
      </c>
      <c r="T248" s="497" t="str">
        <f t="shared" si="30"/>
        <v/>
      </c>
      <c r="U248" s="498" t="str">
        <f t="shared" si="31"/>
        <v/>
      </c>
      <c r="V248" s="536" t="str">
        <f t="shared" si="27"/>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28"/>
        <v/>
      </c>
      <c r="AE248" s="82"/>
      <c r="AF248" s="82"/>
      <c r="AG248" s="506" t="str">
        <f t="shared" si="32"/>
        <v/>
      </c>
      <c r="AH248" s="520" t="str">
        <f t="shared" si="33"/>
        <v/>
      </c>
      <c r="AI248" s="521" t="str">
        <f>IF(AH248="Check Data","Check Data",IFERROR(VLOOKUP(AH248,'G-4 Temporal multipliers'!$A$4:$C$36,3,FALSE),""))</f>
        <v/>
      </c>
      <c r="AJ248" s="497" t="str">
        <f>IF(S248="","",VLOOKUP(S248,'G-3 Multipliers'!$A$2:$E$129,4,FALSE))</f>
        <v/>
      </c>
      <c r="AK248" s="506" t="str">
        <f t="shared" si="34"/>
        <v/>
      </c>
      <c r="AL248" s="506" t="str">
        <f t="shared" si="35"/>
        <v/>
      </c>
      <c r="AM248" s="539" t="str">
        <f>IFERROR(IF(F248="","",IF(AH248="Check Data ⚠","Check Data ⚠",VLOOKUP(AL248, 'G-3 Multipliers'!$P$2:$Q$6,2,FALSE))),"")</f>
        <v/>
      </c>
      <c r="AN248" s="512" t="str">
        <f t="shared" si="29"/>
        <v/>
      </c>
      <c r="AO248" s="238"/>
      <c r="AP248" s="239"/>
    </row>
    <row r="249" spans="1:42" x14ac:dyDescent="0.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c r="R249" s="237"/>
      <c r="S249" s="391" t="str">
        <f>IFERROR(INDEX('G-1 All Habitats'!$B$3:$B$129,MATCH(R249,'G-1 All Habitats'!$A$3:$A$129,0)),"")</f>
        <v/>
      </c>
      <c r="T249" s="497" t="str">
        <f t="shared" si="30"/>
        <v/>
      </c>
      <c r="U249" s="498" t="str">
        <f t="shared" si="31"/>
        <v/>
      </c>
      <c r="V249" s="536" t="str">
        <f t="shared" si="27"/>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28"/>
        <v/>
      </c>
      <c r="AE249" s="82"/>
      <c r="AF249" s="82"/>
      <c r="AG249" s="506" t="str">
        <f t="shared" si="32"/>
        <v/>
      </c>
      <c r="AH249" s="520" t="str">
        <f t="shared" si="33"/>
        <v/>
      </c>
      <c r="AI249" s="521" t="str">
        <f>IF(AH249="Check Data","Check Data",IFERROR(VLOOKUP(AH249,'G-4 Temporal multipliers'!$A$4:$C$36,3,FALSE),""))</f>
        <v/>
      </c>
      <c r="AJ249" s="497" t="str">
        <f>IF(S249="","",VLOOKUP(S249,'G-3 Multipliers'!$A$2:$E$129,4,FALSE))</f>
        <v/>
      </c>
      <c r="AK249" s="506" t="str">
        <f t="shared" si="34"/>
        <v/>
      </c>
      <c r="AL249" s="506" t="str">
        <f t="shared" si="35"/>
        <v/>
      </c>
      <c r="AM249" s="539" t="str">
        <f>IFERROR(IF(F249="","",IF(AH249="Check Data ⚠","Check Data ⚠",VLOOKUP(AL249, 'G-3 Multipliers'!$P$2:$Q$6,2,FALSE))),"")</f>
        <v/>
      </c>
      <c r="AN249" s="512" t="str">
        <f t="shared" si="29"/>
        <v/>
      </c>
      <c r="AO249" s="238"/>
      <c r="AP249" s="239"/>
    </row>
    <row r="250" spans="1:42" x14ac:dyDescent="0.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c r="R250" s="237"/>
      <c r="S250" s="391" t="str">
        <f>IFERROR(INDEX('G-1 All Habitats'!$B$3:$B$129,MATCH(R250,'G-1 All Habitats'!$A$3:$A$129,0)),"")</f>
        <v/>
      </c>
      <c r="T250" s="497" t="str">
        <f t="shared" si="30"/>
        <v/>
      </c>
      <c r="U250" s="498" t="str">
        <f t="shared" si="31"/>
        <v/>
      </c>
      <c r="V250" s="536" t="str">
        <f t="shared" si="27"/>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28"/>
        <v/>
      </c>
      <c r="AE250" s="82"/>
      <c r="AF250" s="82"/>
      <c r="AG250" s="506" t="str">
        <f t="shared" si="32"/>
        <v/>
      </c>
      <c r="AH250" s="520" t="str">
        <f t="shared" si="33"/>
        <v/>
      </c>
      <c r="AI250" s="521" t="str">
        <f>IF(AH250="Check Data","Check Data",IFERROR(VLOOKUP(AH250,'G-4 Temporal multipliers'!$A$4:$C$36,3,FALSE),""))</f>
        <v/>
      </c>
      <c r="AJ250" s="497" t="str">
        <f>IF(S250="","",VLOOKUP(S250,'G-3 Multipliers'!$A$2:$E$129,4,FALSE))</f>
        <v/>
      </c>
      <c r="AK250" s="506" t="str">
        <f t="shared" si="34"/>
        <v/>
      </c>
      <c r="AL250" s="506" t="str">
        <f t="shared" si="35"/>
        <v/>
      </c>
      <c r="AM250" s="539" t="str">
        <f>IFERROR(IF(F250="","",IF(AH250="Check Data ⚠","Check Data ⚠",VLOOKUP(AL250, 'G-3 Multipliers'!$P$2:$Q$6,2,FALSE))),"")</f>
        <v/>
      </c>
      <c r="AN250" s="512" t="str">
        <f t="shared" si="29"/>
        <v/>
      </c>
      <c r="AO250" s="238"/>
      <c r="AP250" s="239"/>
    </row>
    <row r="251" spans="1:42" x14ac:dyDescent="0.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c r="R251" s="237"/>
      <c r="S251" s="391" t="str">
        <f>IFERROR(INDEX('G-1 All Habitats'!$B$3:$B$129,MATCH(R251,'G-1 All Habitats'!$A$3:$A$129,0)),"")</f>
        <v/>
      </c>
      <c r="T251" s="497" t="str">
        <f t="shared" si="30"/>
        <v/>
      </c>
      <c r="U251" s="498" t="str">
        <f t="shared" si="31"/>
        <v/>
      </c>
      <c r="V251" s="536" t="str">
        <f t="shared" si="27"/>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28"/>
        <v/>
      </c>
      <c r="AE251" s="82"/>
      <c r="AF251" s="82"/>
      <c r="AG251" s="506" t="str">
        <f t="shared" si="32"/>
        <v/>
      </c>
      <c r="AH251" s="520" t="str">
        <f t="shared" si="33"/>
        <v/>
      </c>
      <c r="AI251" s="521" t="str">
        <f>IF(AH251="Check Data","Check Data",IFERROR(VLOOKUP(AH251,'G-4 Temporal multipliers'!$A$4:$C$36,3,FALSE),""))</f>
        <v/>
      </c>
      <c r="AJ251" s="497" t="str">
        <f>IF(S251="","",VLOOKUP(S251,'G-3 Multipliers'!$A$2:$E$129,4,FALSE))</f>
        <v/>
      </c>
      <c r="AK251" s="506" t="str">
        <f t="shared" si="34"/>
        <v/>
      </c>
      <c r="AL251" s="506" t="str">
        <f t="shared" si="35"/>
        <v/>
      </c>
      <c r="AM251" s="539" t="str">
        <f>IFERROR(IF(F251="","",IF(AH251="Check Data ⚠","Check Data ⚠",VLOOKUP(AL251, 'G-3 Multipliers'!$P$2:$Q$6,2,FALSE))),"")</f>
        <v/>
      </c>
      <c r="AN251" s="512" t="str">
        <f t="shared" si="29"/>
        <v/>
      </c>
      <c r="AO251" s="238"/>
      <c r="AP251" s="239"/>
    </row>
    <row r="252" spans="1:42" x14ac:dyDescent="0.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c r="R252" s="237"/>
      <c r="S252" s="391" t="str">
        <f>IFERROR(INDEX('G-1 All Habitats'!$B$3:$B$129,MATCH(R252,'G-1 All Habitats'!$A$3:$A$129,0)),"")</f>
        <v/>
      </c>
      <c r="T252" s="497" t="str">
        <f t="shared" si="30"/>
        <v/>
      </c>
      <c r="U252" s="498" t="str">
        <f t="shared" si="31"/>
        <v/>
      </c>
      <c r="V252" s="536" t="str">
        <f t="shared" si="27"/>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28"/>
        <v/>
      </c>
      <c r="AE252" s="82"/>
      <c r="AF252" s="82"/>
      <c r="AG252" s="506" t="str">
        <f t="shared" si="32"/>
        <v/>
      </c>
      <c r="AH252" s="520" t="str">
        <f t="shared" si="33"/>
        <v/>
      </c>
      <c r="AI252" s="521" t="str">
        <f>IF(AH252="Check Data","Check Data",IFERROR(VLOOKUP(AH252,'G-4 Temporal multipliers'!$A$4:$C$36,3,FALSE),""))</f>
        <v/>
      </c>
      <c r="AJ252" s="497" t="str">
        <f>IF(S252="","",VLOOKUP(S252,'G-3 Multipliers'!$A$2:$E$129,4,FALSE))</f>
        <v/>
      </c>
      <c r="AK252" s="506" t="str">
        <f t="shared" si="34"/>
        <v/>
      </c>
      <c r="AL252" s="506" t="str">
        <f t="shared" si="35"/>
        <v/>
      </c>
      <c r="AM252" s="539" t="str">
        <f>IFERROR(IF(F252="","",IF(AH252="Check Data ⚠","Check Data ⚠",VLOOKUP(AL252, 'G-3 Multipliers'!$P$2:$Q$6,2,FALSE))),"")</f>
        <v/>
      </c>
      <c r="AN252" s="512" t="str">
        <f t="shared" si="29"/>
        <v/>
      </c>
      <c r="AO252" s="238"/>
      <c r="AP252" s="239"/>
    </row>
    <row r="253" spans="1:42" x14ac:dyDescent="0.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c r="R253" s="237"/>
      <c r="S253" s="391" t="str">
        <f>IFERROR(INDEX('G-1 All Habitats'!$B$3:$B$129,MATCH(R253,'G-1 All Habitats'!$A$3:$A$129,0)),"")</f>
        <v/>
      </c>
      <c r="T253" s="497" t="str">
        <f t="shared" si="30"/>
        <v/>
      </c>
      <c r="U253" s="498" t="str">
        <f t="shared" si="31"/>
        <v/>
      </c>
      <c r="V253" s="536" t="str">
        <f t="shared" si="27"/>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28"/>
        <v/>
      </c>
      <c r="AE253" s="82"/>
      <c r="AF253" s="82"/>
      <c r="AG253" s="506" t="str">
        <f t="shared" si="32"/>
        <v/>
      </c>
      <c r="AH253" s="520" t="str">
        <f t="shared" si="33"/>
        <v/>
      </c>
      <c r="AI253" s="521" t="str">
        <f>IF(AH253="Check Data","Check Data",IFERROR(VLOOKUP(AH253,'G-4 Temporal multipliers'!$A$4:$C$36,3,FALSE),""))</f>
        <v/>
      </c>
      <c r="AJ253" s="497" t="str">
        <f>IF(S253="","",VLOOKUP(S253,'G-3 Multipliers'!$A$2:$E$129,4,FALSE))</f>
        <v/>
      </c>
      <c r="AK253" s="506" t="str">
        <f t="shared" si="34"/>
        <v/>
      </c>
      <c r="AL253" s="506" t="str">
        <f t="shared" si="35"/>
        <v/>
      </c>
      <c r="AM253" s="539" t="str">
        <f>IFERROR(IF(F253="","",IF(AH253="Check Data ⚠","Check Data ⚠",VLOOKUP(AL253, 'G-3 Multipliers'!$P$2:$Q$6,2,FALSE))),"")</f>
        <v/>
      </c>
      <c r="AN253" s="512" t="str">
        <f t="shared" si="29"/>
        <v/>
      </c>
      <c r="AO253" s="238"/>
      <c r="AP253" s="239"/>
    </row>
    <row r="254" spans="1:42" x14ac:dyDescent="0.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c r="R254" s="237"/>
      <c r="S254" s="391" t="str">
        <f>IFERROR(INDEX('G-1 All Habitats'!$B$3:$B$129,MATCH(R254,'G-1 All Habitats'!$A$3:$A$129,0)),"")</f>
        <v/>
      </c>
      <c r="T254" s="497" t="str">
        <f t="shared" si="30"/>
        <v/>
      </c>
      <c r="U254" s="498" t="str">
        <f t="shared" si="31"/>
        <v/>
      </c>
      <c r="V254" s="536" t="str">
        <f t="shared" si="27"/>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28"/>
        <v/>
      </c>
      <c r="AE254" s="82"/>
      <c r="AF254" s="82"/>
      <c r="AG254" s="506" t="str">
        <f t="shared" si="32"/>
        <v/>
      </c>
      <c r="AH254" s="520" t="str">
        <f t="shared" si="33"/>
        <v/>
      </c>
      <c r="AI254" s="521" t="str">
        <f>IF(AH254="Check Data","Check Data",IFERROR(VLOOKUP(AH254,'G-4 Temporal multipliers'!$A$4:$C$36,3,FALSE),""))</f>
        <v/>
      </c>
      <c r="AJ254" s="497" t="str">
        <f>IF(S254="","",VLOOKUP(S254,'G-3 Multipliers'!$A$2:$E$129,4,FALSE))</f>
        <v/>
      </c>
      <c r="AK254" s="506" t="str">
        <f t="shared" si="34"/>
        <v/>
      </c>
      <c r="AL254" s="506" t="str">
        <f t="shared" si="35"/>
        <v/>
      </c>
      <c r="AM254" s="539" t="str">
        <f>IFERROR(IF(F254="","",IF(AH254="Check Data ⚠","Check Data ⚠",VLOOKUP(AL254, 'G-3 Multipliers'!$P$2:$Q$6,2,FALSE))),"")</f>
        <v/>
      </c>
      <c r="AN254" s="512" t="str">
        <f t="shared" si="29"/>
        <v/>
      </c>
      <c r="AO254" s="238"/>
      <c r="AP254" s="239"/>
    </row>
    <row r="255" spans="1:42" x14ac:dyDescent="0.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c r="R255" s="237"/>
      <c r="S255" s="391" t="str">
        <f>IFERROR(INDEX('G-1 All Habitats'!$B$3:$B$129,MATCH(R255,'G-1 All Habitats'!$A$3:$A$129,0)),"")</f>
        <v/>
      </c>
      <c r="T255" s="497" t="str">
        <f t="shared" si="30"/>
        <v/>
      </c>
      <c r="U255" s="498" t="str">
        <f t="shared" si="31"/>
        <v/>
      </c>
      <c r="V255" s="536" t="str">
        <f t="shared" si="27"/>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28"/>
        <v/>
      </c>
      <c r="AE255" s="82"/>
      <c r="AF255" s="82"/>
      <c r="AG255" s="506" t="str">
        <f t="shared" si="32"/>
        <v/>
      </c>
      <c r="AH255" s="520" t="str">
        <f t="shared" si="33"/>
        <v/>
      </c>
      <c r="AI255" s="521" t="str">
        <f>IF(AH255="Check Data","Check Data",IFERROR(VLOOKUP(AH255,'G-4 Temporal multipliers'!$A$4:$C$36,3,FALSE),""))</f>
        <v/>
      </c>
      <c r="AJ255" s="497" t="str">
        <f>IF(S255="","",VLOOKUP(S255,'G-3 Multipliers'!$A$2:$E$129,4,FALSE))</f>
        <v/>
      </c>
      <c r="AK255" s="506" t="str">
        <f t="shared" si="34"/>
        <v/>
      </c>
      <c r="AL255" s="506" t="str">
        <f t="shared" si="35"/>
        <v/>
      </c>
      <c r="AM255" s="539" t="str">
        <f>IFERROR(IF(F255="","",IF(AH255="Check Data ⚠","Check Data ⚠",VLOOKUP(AL255, 'G-3 Multipliers'!$P$2:$Q$6,2,FALSE))),"")</f>
        <v/>
      </c>
      <c r="AN255" s="512" t="str">
        <f t="shared" si="29"/>
        <v/>
      </c>
      <c r="AO255" s="238"/>
      <c r="AP255" s="239"/>
    </row>
    <row r="256" spans="1:42" x14ac:dyDescent="0.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c r="R256" s="237"/>
      <c r="S256" s="391" t="str">
        <f>IFERROR(INDEX('G-1 All Habitats'!$B$3:$B$129,MATCH(R256,'G-1 All Habitats'!$A$3:$A$129,0)),"")</f>
        <v/>
      </c>
      <c r="T256" s="497" t="str">
        <f t="shared" si="30"/>
        <v/>
      </c>
      <c r="U256" s="498" t="str">
        <f t="shared" si="31"/>
        <v/>
      </c>
      <c r="V256" s="536" t="str">
        <f t="shared" si="27"/>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28"/>
        <v/>
      </c>
      <c r="AE256" s="82"/>
      <c r="AF256" s="82"/>
      <c r="AG256" s="506" t="str">
        <f t="shared" si="32"/>
        <v/>
      </c>
      <c r="AH256" s="520" t="str">
        <f t="shared" si="33"/>
        <v/>
      </c>
      <c r="AI256" s="521" t="str">
        <f>IF(AH256="Check Data","Check Data",IFERROR(VLOOKUP(AH256,'G-4 Temporal multipliers'!$A$4:$C$36,3,FALSE),""))</f>
        <v/>
      </c>
      <c r="AJ256" s="497" t="str">
        <f>IF(S256="","",VLOOKUP(S256,'G-3 Multipliers'!$A$2:$E$129,4,FALSE))</f>
        <v/>
      </c>
      <c r="AK256" s="506" t="str">
        <f t="shared" si="34"/>
        <v/>
      </c>
      <c r="AL256" s="506" t="str">
        <f t="shared" si="35"/>
        <v/>
      </c>
      <c r="AM256" s="539" t="str">
        <f>IFERROR(IF(F256="","",IF(AH256="Check Data ⚠","Check Data ⚠",VLOOKUP(AL256, 'G-3 Multipliers'!$P$2:$Q$6,2,FALSE))),"")</f>
        <v/>
      </c>
      <c r="AN256" s="512" t="str">
        <f t="shared" si="29"/>
        <v/>
      </c>
      <c r="AO256" s="238"/>
      <c r="AP256" s="239"/>
    </row>
    <row r="257" spans="1:42" ht="15" thickBot="1" x14ac:dyDescent="0.2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c r="R257" s="237"/>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31"/>
        <v/>
      </c>
      <c r="V257" s="537" t="str">
        <f t="shared" si="27"/>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28"/>
        <v/>
      </c>
      <c r="AE257" s="340"/>
      <c r="AF257" s="340"/>
      <c r="AG257" s="506" t="str">
        <f t="shared" si="32"/>
        <v/>
      </c>
      <c r="AH257" s="520" t="str">
        <f t="shared" si="33"/>
        <v/>
      </c>
      <c r="AI257" s="540" t="str">
        <f>IF(AH257="Check Data","Check Data",IFERROR(VLOOKUP(AH257,'G-4 Temporal multipliers'!$A$4:$C$36,3,FALSE),""))</f>
        <v/>
      </c>
      <c r="AJ257" s="537" t="str">
        <f>IF(S257="","",VLOOKUP(S257,'G-3 Multipliers'!$A$2:$E$129,4,FALSE))</f>
        <v/>
      </c>
      <c r="AK257" s="506" t="str">
        <f t="shared" si="34"/>
        <v/>
      </c>
      <c r="AL257" s="506" t="str">
        <f t="shared" si="35"/>
        <v/>
      </c>
      <c r="AM257" s="539" t="str">
        <f>IFERROR(IF(F257="","",IF(AH257="Check Data ⚠","Check Data ⚠",VLOOKUP(AL257, 'G-3 Multipliers'!$P$2:$Q$6,2,FALSE))),"")</f>
        <v/>
      </c>
      <c r="AN257" s="541" t="str">
        <f t="shared" si="29"/>
        <v/>
      </c>
      <c r="AO257" s="428"/>
      <c r="AP257" s="434"/>
    </row>
    <row r="258" spans="1:42" ht="15" thickBot="1" x14ac:dyDescent="0.25">
      <c r="E258" s="429"/>
      <c r="F258" s="429"/>
      <c r="G258" s="429"/>
      <c r="H258" s="429"/>
      <c r="I258" s="429"/>
      <c r="J258" s="429"/>
      <c r="K258" s="429"/>
      <c r="L258" s="429"/>
      <c r="M258" s="429"/>
      <c r="N258" s="429"/>
      <c r="O258" s="429"/>
      <c r="P258" s="429"/>
      <c r="Q258" s="429"/>
      <c r="R258" s="429"/>
      <c r="S258" s="429"/>
      <c r="T258" s="429"/>
      <c r="U258" s="276"/>
      <c r="V258" s="502">
        <f>SUM(V12:V257)</f>
        <v>41.501799999999996</v>
      </c>
      <c r="W258" s="429"/>
      <c r="X258" s="429"/>
      <c r="Y258" s="429"/>
      <c r="Z258" s="429"/>
      <c r="AA258" s="429"/>
      <c r="AB258" s="429"/>
      <c r="AC258" s="429"/>
      <c r="AD258" s="429"/>
      <c r="AE258" s="429"/>
      <c r="AF258" s="429"/>
      <c r="AG258" s="429"/>
      <c r="AH258" s="429"/>
      <c r="AI258" s="429"/>
      <c r="AJ258" s="429"/>
      <c r="AK258" s="429"/>
      <c r="AL258" s="429"/>
      <c r="AM258" s="276"/>
      <c r="AN258" s="502">
        <f ca="1">(SUM(AN12:AN257))</f>
        <v>374.42721212217901</v>
      </c>
      <c r="AO258" s="429"/>
      <c r="AP258" s="429"/>
    </row>
    <row r="259" spans="1:42" ht="18" x14ac:dyDescent="0.25">
      <c r="V259" s="921" t="str">
        <f>IF(V258&lt;&gt;'A-1 Site Habitat Baseline'!T259,"Error - Area of habitat enhancement must match the area from sheet A1 ▲","")</f>
        <v/>
      </c>
      <c r="W259" s="921"/>
      <c r="X259" s="921"/>
      <c r="Y259" s="921"/>
      <c r="Z259" s="921"/>
      <c r="AA259" s="921"/>
    </row>
    <row r="260" spans="1:42" x14ac:dyDescent="0.2"/>
    <row r="261" spans="1:42" x14ac:dyDescent="0.2"/>
    <row r="262" spans="1:42" x14ac:dyDescent="0.2"/>
    <row r="263" spans="1:42" x14ac:dyDescent="0.2"/>
    <row r="264" spans="1:42" x14ac:dyDescent="0.2"/>
    <row r="265" spans="1:42" x14ac:dyDescent="0.2"/>
    <row r="266" spans="1:42" x14ac:dyDescent="0.2"/>
  </sheetData>
  <sheetProtection algorithmName="SHA-512" hashValue="SvcnmTEj+kUfgYtF2zn5XZx/c0Vwa2p+a46WuiwtSA2e/Z2Q9JdyYC6qBMBw3C0Xvm+f6J5Mfw4eBywLn+lZNQ==" saltValue="cx6c7cOp7RchtTPWNiLBSA=="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25" zeroHeight="1" x14ac:dyDescent="0.2"/>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customWidth="1"/>
    <col min="11" max="11" width="14.28515625" style="31" customWidth="1"/>
    <col min="12" max="12" width="9.7109375" style="31" customWidth="1"/>
    <col min="13" max="13" width="41.7109375" style="31" customWidth="1"/>
    <col min="14" max="14" width="20.42578125" style="31" customWidth="1"/>
    <col min="15" max="15" width="13.140625" style="3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x14ac:dyDescent="0.25"/>
    <row r="2" spans="1:43" ht="19.5" customHeight="1" thickBot="1" x14ac:dyDescent="0.25">
      <c r="D2" s="946" t="str">
        <f>IF(Start!F12="","",Start!F12)</f>
        <v>Tyting Farm Mitigation Bank</v>
      </c>
      <c r="E2" s="947"/>
      <c r="F2" s="948"/>
    </row>
    <row r="3" spans="1:43" ht="15" customHeight="1" x14ac:dyDescent="0.2">
      <c r="D3" s="940" t="str">
        <f ca="1">MID(CELL("filename",C1),FIND("]",CELL("filename",C1))+1,256)</f>
        <v>D-1 Off Site Habitat Baseline</v>
      </c>
      <c r="E3" s="941"/>
      <c r="F3" s="942"/>
    </row>
    <row r="4" spans="1:43" ht="19.899999999999999" customHeight="1" thickBot="1" x14ac:dyDescent="0.25">
      <c r="D4" s="943"/>
      <c r="E4" s="944"/>
      <c r="F4" s="945"/>
    </row>
    <row r="5" spans="1:43" ht="24" customHeight="1" x14ac:dyDescent="0.2"/>
    <row r="6" spans="1:43" ht="15.75" customHeight="1" x14ac:dyDescent="0.2"/>
    <row r="7" spans="1:43" ht="16.149999999999999" customHeight="1" x14ac:dyDescent="0.2">
      <c r="D7" s="132"/>
      <c r="E7" s="132"/>
      <c r="F7" s="132"/>
      <c r="M7" s="131"/>
    </row>
    <row r="8" spans="1:43" ht="22.9" customHeight="1" thickBot="1" x14ac:dyDescent="0.25">
      <c r="D8" s="132"/>
      <c r="E8" s="132"/>
      <c r="F8" s="132"/>
    </row>
    <row r="9" spans="1:43" s="42" customFormat="1" ht="30" customHeight="1" thickBot="1" x14ac:dyDescent="0.25">
      <c r="D9" s="246"/>
      <c r="E9" s="938" t="s">
        <v>194</v>
      </c>
      <c r="F9" s="938"/>
      <c r="G9" s="938"/>
      <c r="H9" s="938"/>
      <c r="I9" s="938" t="s">
        <v>297</v>
      </c>
      <c r="J9" s="938"/>
      <c r="K9" s="938" t="s">
        <v>298</v>
      </c>
      <c r="L9" s="938"/>
      <c r="M9" s="938" t="s">
        <v>197</v>
      </c>
      <c r="N9" s="938"/>
      <c r="O9" s="938"/>
      <c r="P9" s="938" t="s">
        <v>198</v>
      </c>
      <c r="Q9" s="133" t="s">
        <v>199</v>
      </c>
      <c r="R9" s="138"/>
      <c r="S9" s="938" t="s">
        <v>200</v>
      </c>
      <c r="T9" s="938"/>
      <c r="U9" s="938"/>
      <c r="V9" s="938"/>
      <c r="W9" s="938"/>
      <c r="X9" s="938"/>
      <c r="Y9" s="938" t="s">
        <v>201</v>
      </c>
      <c r="Z9" s="938" t="s">
        <v>202</v>
      </c>
      <c r="AA9" s="938"/>
      <c r="AC9" s="42" t="s">
        <v>193</v>
      </c>
      <c r="AD9" s="42" t="s">
        <v>193</v>
      </c>
      <c r="AF9" s="247" t="s">
        <v>203</v>
      </c>
      <c r="AG9" s="247"/>
      <c r="AH9" s="247"/>
      <c r="AI9" s="247"/>
      <c r="AJ9" s="247"/>
      <c r="AK9" s="247" t="s">
        <v>204</v>
      </c>
      <c r="AL9" s="156"/>
      <c r="AM9" s="156"/>
      <c r="AN9" s="156"/>
    </row>
    <row r="10" spans="1:43" ht="57" customHeight="1" thickBot="1" x14ac:dyDescent="0.25">
      <c r="B10" s="131" t="s">
        <v>206</v>
      </c>
      <c r="D10" s="135" t="s">
        <v>278</v>
      </c>
      <c r="E10" s="136" t="s">
        <v>299</v>
      </c>
      <c r="F10" s="136" t="s">
        <v>300</v>
      </c>
      <c r="G10" s="136" t="s">
        <v>210</v>
      </c>
      <c r="H10" s="137" t="s">
        <v>211</v>
      </c>
      <c r="I10" s="135" t="s">
        <v>195</v>
      </c>
      <c r="J10" s="137" t="s">
        <v>212</v>
      </c>
      <c r="K10" s="135" t="s">
        <v>196</v>
      </c>
      <c r="L10" s="137" t="s">
        <v>212</v>
      </c>
      <c r="M10" s="135" t="s">
        <v>197</v>
      </c>
      <c r="N10" s="136" t="s">
        <v>197</v>
      </c>
      <c r="O10" s="137" t="s">
        <v>255</v>
      </c>
      <c r="P10" s="939"/>
      <c r="Q10" s="167" t="s">
        <v>214</v>
      </c>
      <c r="R10" s="138"/>
      <c r="S10" s="135" t="s">
        <v>215</v>
      </c>
      <c r="T10" s="136" t="s">
        <v>216</v>
      </c>
      <c r="U10" s="136" t="s">
        <v>217</v>
      </c>
      <c r="V10" s="136" t="s">
        <v>218</v>
      </c>
      <c r="W10" s="136" t="s">
        <v>301</v>
      </c>
      <c r="X10" s="137" t="s">
        <v>220</v>
      </c>
      <c r="Y10" s="939"/>
      <c r="Z10" s="135" t="s">
        <v>221</v>
      </c>
      <c r="AA10" s="369" t="s">
        <v>222</v>
      </c>
      <c r="AC10" s="248" t="s">
        <v>223</v>
      </c>
      <c r="AD10" s="248" t="s">
        <v>302</v>
      </c>
      <c r="AE10" s="42"/>
      <c r="AF10" s="156" t="s">
        <v>225</v>
      </c>
      <c r="AG10" s="156" t="s">
        <v>226</v>
      </c>
      <c r="AH10" s="156" t="s">
        <v>227</v>
      </c>
      <c r="AI10" s="156" t="s">
        <v>228</v>
      </c>
      <c r="AJ10" s="156"/>
      <c r="AK10" s="156" t="s">
        <v>225</v>
      </c>
      <c r="AL10" s="156" t="s">
        <v>226</v>
      </c>
      <c r="AM10" s="156" t="s">
        <v>227</v>
      </c>
      <c r="AN10" s="156"/>
      <c r="AQ10" s="31" t="s">
        <v>205</v>
      </c>
    </row>
    <row r="11" spans="1:43" x14ac:dyDescent="0.2">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 thickBot="1" x14ac:dyDescent="0.25">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 thickBot="1" x14ac:dyDescent="0.25">
      <c r="G259" s="321" t="s">
        <v>303</v>
      </c>
      <c r="H259" s="502">
        <f>IF('Detailed Results'!$K$40&gt;0,"Error ▲",SUMIFS($H$11:$H$258,$G$11:$G$258,"&lt;&gt;"&amp;'G-1 All Habitats'!B65,$G$11:$G$258,"&lt;&gt;"&amp;'G-1 All Habitats'!B66,$G$11:$G$258,"&lt;&gt;"&amp;'G-1 All Habitats'!B73))</f>
        <v>0</v>
      </c>
      <c r="N259" s="40"/>
      <c r="P259" s="173" t="s">
        <v>304</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5" thickBot="1" x14ac:dyDescent="0.25">
      <c r="R260" s="166"/>
      <c r="S260" s="166"/>
      <c r="T260" s="166"/>
      <c r="U260" s="166"/>
      <c r="V260" s="166"/>
      <c r="W260" s="166"/>
      <c r="X260" s="166"/>
    </row>
    <row r="261" spans="1:43" ht="35.25" customHeight="1" thickBot="1" x14ac:dyDescent="0.25">
      <c r="D261" s="132"/>
      <c r="E261" s="132"/>
      <c r="F261" s="132"/>
      <c r="S261" s="887" t="s">
        <v>248</v>
      </c>
      <c r="T261" s="888"/>
      <c r="U261" s="888"/>
      <c r="V261" s="889"/>
      <c r="W261" s="502">
        <f>IF('Detailed Results'!$K$40&gt;0,"Error",SUMIFS($W$11:$W$258,$G$11:$G$258,"&lt;&gt;"&amp;'G-1 All Habitats'!B65,$G$11:$G$258,"&lt;&gt;"&amp;'G-1 All Habitats'!B66,$G$11:$G$258,"&lt;&gt;"&amp;'G-1 All Habitats'!B73))</f>
        <v>0</v>
      </c>
    </row>
    <row r="262" spans="1:43" x14ac:dyDescent="0.2">
      <c r="D262" s="132"/>
      <c r="E262" s="132"/>
      <c r="F262" s="132"/>
    </row>
    <row r="263" spans="1:43" x14ac:dyDescent="0.2">
      <c r="D263" s="132"/>
      <c r="E263" s="132"/>
      <c r="F263" s="132"/>
    </row>
    <row r="264" spans="1:43" x14ac:dyDescent="0.2">
      <c r="D264" s="132"/>
      <c r="E264" s="132"/>
      <c r="F264" s="132"/>
    </row>
    <row r="265" spans="1:43" x14ac:dyDescent="0.2">
      <c r="D265" s="132"/>
      <c r="E265" s="132"/>
      <c r="F265" s="132"/>
    </row>
    <row r="266" spans="1:43" x14ac:dyDescent="0.2">
      <c r="D266" s="132"/>
      <c r="E266" s="132"/>
      <c r="F266" s="132"/>
    </row>
    <row r="267" spans="1:43" x14ac:dyDescent="0.2">
      <c r="D267" s="132"/>
      <c r="E267" s="132"/>
      <c r="F267" s="132"/>
    </row>
    <row r="268" spans="1:43" x14ac:dyDescent="0.2">
      <c r="D268" s="132"/>
      <c r="E268" s="132"/>
      <c r="F268" s="132"/>
    </row>
    <row r="269" spans="1:43" x14ac:dyDescent="0.2">
      <c r="D269" s="132"/>
      <c r="E269" s="132"/>
      <c r="F269" s="132"/>
    </row>
    <row r="270" spans="1:43" x14ac:dyDescent="0.2">
      <c r="D270" s="132"/>
      <c r="E270" s="132"/>
      <c r="F270" s="132"/>
    </row>
    <row r="271" spans="1:43" x14ac:dyDescent="0.2">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2"/>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5" thickBot="1" x14ac:dyDescent="0.25"/>
    <row r="2" spans="1:29" ht="25.9" customHeight="1" thickBot="1" x14ac:dyDescent="0.25">
      <c r="D2" s="946" t="str">
        <f>IF(Start!F12="","",Start!F12)</f>
        <v>Tyting Farm Mitigation Bank</v>
      </c>
      <c r="E2" s="947"/>
      <c r="G2" s="241"/>
      <c r="O2" s="908" t="str">
        <f>IF(OR(COUNTIF($O$11:O256,"*30+*")&gt;0,COUNTIF($S$11:S256,"*30+*")&gt;0),"Note; Habitat selected has a time to target condition greater than 30 years. Non standard agreement may be required. ⚠","")</f>
        <v/>
      </c>
      <c r="P2" s="908"/>
      <c r="Q2" s="908"/>
      <c r="R2" s="908"/>
      <c r="S2" s="908"/>
      <c r="T2" s="908"/>
    </row>
    <row r="3" spans="1:29" ht="19.899999999999999" customHeight="1" x14ac:dyDescent="0.2">
      <c r="D3" s="940" t="str">
        <f ca="1">MID(CELL("filename",C1),FIND("]",CELL("filename",C1))+1,256)</f>
        <v>D-2 Off Site Habitat Creation</v>
      </c>
      <c r="E3" s="941"/>
      <c r="G3" s="241"/>
      <c r="O3" s="908"/>
      <c r="P3" s="908"/>
      <c r="Q3" s="908"/>
      <c r="R3" s="908"/>
      <c r="S3" s="908"/>
      <c r="T3" s="908"/>
    </row>
    <row r="4" spans="1:29" ht="15.75" customHeight="1" thickBot="1" x14ac:dyDescent="0.25">
      <c r="D4" s="943"/>
      <c r="E4" s="944"/>
      <c r="G4" s="241"/>
      <c r="M4" s="131"/>
      <c r="O4" s="398"/>
      <c r="P4" s="398"/>
      <c r="Q4" s="398"/>
      <c r="R4" s="398"/>
      <c r="S4" s="398"/>
    </row>
    <row r="5" spans="1:29" ht="29.45" customHeight="1" x14ac:dyDescent="0.25">
      <c r="M5" s="33"/>
      <c r="N5" s="193"/>
      <c r="O5" s="908" t="str">
        <f>IFERROR(IF(OR((G259-'D-1 Off Site Habitat Baseline'!W261)&gt;0.01,(G259-'D-1 Off Site Habitat Baseline'!W261)&lt;-0.01),"Check Areas - Area cross check failed (Baseline habitat lost does not match area of new habitat creation)",""),"")</f>
        <v/>
      </c>
      <c r="P5" s="908"/>
      <c r="Q5" s="908"/>
      <c r="R5" s="908"/>
      <c r="S5" s="908"/>
      <c r="T5" s="908"/>
      <c r="U5" s="399"/>
      <c r="V5" s="399"/>
    </row>
    <row r="6" spans="1:29" ht="31.15" customHeight="1" x14ac:dyDescent="0.2">
      <c r="O6" s="908"/>
      <c r="P6" s="908"/>
      <c r="Q6" s="908"/>
      <c r="R6" s="908"/>
      <c r="S6" s="908"/>
      <c r="T6" s="908"/>
    </row>
    <row r="7" spans="1:29" ht="15" thickBot="1" x14ac:dyDescent="0.25"/>
    <row r="8" spans="1:29" ht="15" thickBot="1" x14ac:dyDescent="0.25">
      <c r="D8" s="950" t="s">
        <v>249</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x14ac:dyDescent="0.25">
      <c r="B9" s="31"/>
      <c r="C9" s="31"/>
      <c r="D9" s="879" t="s">
        <v>208</v>
      </c>
      <c r="E9" s="881" t="s">
        <v>251</v>
      </c>
      <c r="F9" s="881" t="s">
        <v>251</v>
      </c>
      <c r="G9" s="953" t="s">
        <v>211</v>
      </c>
      <c r="H9" s="879" t="s">
        <v>195</v>
      </c>
      <c r="I9" s="877" t="s">
        <v>212</v>
      </c>
      <c r="J9" s="955" t="s">
        <v>196</v>
      </c>
      <c r="K9" s="877" t="s">
        <v>212</v>
      </c>
      <c r="L9" s="939" t="s">
        <v>197</v>
      </c>
      <c r="M9" s="939"/>
      <c r="N9" s="939"/>
      <c r="O9" s="939" t="s">
        <v>275</v>
      </c>
      <c r="P9" s="939"/>
      <c r="Q9" s="939"/>
      <c r="R9" s="939"/>
      <c r="S9" s="939"/>
      <c r="T9" s="939"/>
      <c r="U9" s="939" t="s">
        <v>276</v>
      </c>
      <c r="V9" s="939"/>
      <c r="W9" s="939"/>
      <c r="X9" s="939"/>
      <c r="Y9" s="949" t="s">
        <v>305</v>
      </c>
      <c r="Z9" s="949"/>
      <c r="AA9" s="938" t="s">
        <v>254</v>
      </c>
      <c r="AB9" s="938" t="s">
        <v>202</v>
      </c>
      <c r="AC9" s="938"/>
    </row>
    <row r="10" spans="1:29" ht="57" x14ac:dyDescent="0.2">
      <c r="A10" s="131" t="s">
        <v>206</v>
      </c>
      <c r="C10" s="31" t="s">
        <v>306</v>
      </c>
      <c r="D10" s="880"/>
      <c r="E10" s="882"/>
      <c r="F10" s="882"/>
      <c r="G10" s="954"/>
      <c r="H10" s="880"/>
      <c r="I10" s="878"/>
      <c r="J10" s="956"/>
      <c r="K10" s="878"/>
      <c r="L10" s="367" t="s">
        <v>197</v>
      </c>
      <c r="M10" s="200" t="s">
        <v>197</v>
      </c>
      <c r="N10" s="201" t="s">
        <v>255</v>
      </c>
      <c r="O10" s="367" t="s">
        <v>256</v>
      </c>
      <c r="P10" s="200" t="s">
        <v>257</v>
      </c>
      <c r="Q10" s="200" t="s">
        <v>258</v>
      </c>
      <c r="R10" s="200" t="s">
        <v>259</v>
      </c>
      <c r="S10" s="200" t="s">
        <v>260</v>
      </c>
      <c r="T10" s="201" t="s">
        <v>261</v>
      </c>
      <c r="U10" s="367" t="s">
        <v>262</v>
      </c>
      <c r="V10" s="200" t="s">
        <v>307</v>
      </c>
      <c r="W10" s="200" t="s">
        <v>264</v>
      </c>
      <c r="X10" s="201" t="s">
        <v>265</v>
      </c>
      <c r="Y10" s="403" t="s">
        <v>308</v>
      </c>
      <c r="Z10" s="404" t="s">
        <v>305</v>
      </c>
      <c r="AA10" s="939"/>
      <c r="AB10" s="135" t="s">
        <v>221</v>
      </c>
      <c r="AC10" s="137" t="s">
        <v>222</v>
      </c>
    </row>
    <row r="11" spans="1:29" ht="14.25" x14ac:dyDescent="0.2">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4.25" x14ac:dyDescent="0.2">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4.25" x14ac:dyDescent="0.2">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4.25" x14ac:dyDescent="0.2">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4.25" x14ac:dyDescent="0.2">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4.25" x14ac:dyDescent="0.2">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4.25" x14ac:dyDescent="0.2">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4.25" x14ac:dyDescent="0.2">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4.25" x14ac:dyDescent="0.2">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4.25" x14ac:dyDescent="0.2">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4.25" x14ac:dyDescent="0.2">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4.25" x14ac:dyDescent="0.2">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4.25" x14ac:dyDescent="0.2">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4.25" x14ac:dyDescent="0.2">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4.25" x14ac:dyDescent="0.2">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4.25" x14ac:dyDescent="0.2">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4.25" x14ac:dyDescent="0.2">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4.25" x14ac:dyDescent="0.2">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4.25" x14ac:dyDescent="0.2">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4.25" x14ac:dyDescent="0.2">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4.25" x14ac:dyDescent="0.2">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4.25" x14ac:dyDescent="0.2">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4.25" x14ac:dyDescent="0.2">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4.25" x14ac:dyDescent="0.2">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4.25" x14ac:dyDescent="0.2">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4.25" x14ac:dyDescent="0.2">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4.25" x14ac:dyDescent="0.2">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4.25" x14ac:dyDescent="0.2">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4.25" x14ac:dyDescent="0.2">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4.25" x14ac:dyDescent="0.2">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4.25" x14ac:dyDescent="0.2">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4.25" x14ac:dyDescent="0.2">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4.25" x14ac:dyDescent="0.2">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4.25" x14ac:dyDescent="0.2">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4.25" x14ac:dyDescent="0.2">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4.25" x14ac:dyDescent="0.2">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4.25" x14ac:dyDescent="0.2">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4.25" x14ac:dyDescent="0.2">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4.25" x14ac:dyDescent="0.2">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4.25" x14ac:dyDescent="0.2">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4.25" x14ac:dyDescent="0.2">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4.25" x14ac:dyDescent="0.2">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4.25" x14ac:dyDescent="0.2">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4.25" x14ac:dyDescent="0.2">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4.25" x14ac:dyDescent="0.2">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4.25" x14ac:dyDescent="0.2">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4.25" x14ac:dyDescent="0.2">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4.25" x14ac:dyDescent="0.2">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4.25" x14ac:dyDescent="0.2">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4.25" x14ac:dyDescent="0.2">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4.25" x14ac:dyDescent="0.2">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4.25" x14ac:dyDescent="0.2">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4.25" x14ac:dyDescent="0.2">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4.25" x14ac:dyDescent="0.2">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4.25" x14ac:dyDescent="0.2">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4.25" x14ac:dyDescent="0.2">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4.25" x14ac:dyDescent="0.2">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4.25" x14ac:dyDescent="0.2">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4.25" x14ac:dyDescent="0.2">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4.25" x14ac:dyDescent="0.2">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4.25" x14ac:dyDescent="0.2">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4.25" x14ac:dyDescent="0.2">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4.25" x14ac:dyDescent="0.2">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4.25" x14ac:dyDescent="0.2">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4.25" x14ac:dyDescent="0.2">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4.25" x14ac:dyDescent="0.2">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4.25" x14ac:dyDescent="0.2">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4.25" x14ac:dyDescent="0.2">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4.25" x14ac:dyDescent="0.2">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4.25" x14ac:dyDescent="0.2">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4.25" x14ac:dyDescent="0.2">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4.25" x14ac:dyDescent="0.2">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4.25" x14ac:dyDescent="0.2">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4.25" x14ac:dyDescent="0.2">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4.25" x14ac:dyDescent="0.2">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4.25" x14ac:dyDescent="0.2">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4.25" x14ac:dyDescent="0.2">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4.25" x14ac:dyDescent="0.2">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4.25" x14ac:dyDescent="0.2">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4.25" x14ac:dyDescent="0.2">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4.25" x14ac:dyDescent="0.2">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4.25" x14ac:dyDescent="0.2">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4.25" x14ac:dyDescent="0.2">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4.25" x14ac:dyDescent="0.2">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4.25" x14ac:dyDescent="0.2">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4.25" x14ac:dyDescent="0.2">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4.25" x14ac:dyDescent="0.2">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4.25" x14ac:dyDescent="0.2">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4.25" x14ac:dyDescent="0.2">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4.25" x14ac:dyDescent="0.2">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4.25" x14ac:dyDescent="0.2">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4.25" x14ac:dyDescent="0.2">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4.25" x14ac:dyDescent="0.2">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4.25" x14ac:dyDescent="0.2">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4.25" x14ac:dyDescent="0.2">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4.25" x14ac:dyDescent="0.2">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4.25" x14ac:dyDescent="0.2">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4.25" x14ac:dyDescent="0.2">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4.25" x14ac:dyDescent="0.2">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4.25" x14ac:dyDescent="0.2">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4.25" x14ac:dyDescent="0.2">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4.25" x14ac:dyDescent="0.2">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4.25" x14ac:dyDescent="0.2">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4.25" x14ac:dyDescent="0.2">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4.25" x14ac:dyDescent="0.2">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4.25" x14ac:dyDescent="0.2">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4.25" x14ac:dyDescent="0.2">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4.25" x14ac:dyDescent="0.2">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4.25" x14ac:dyDescent="0.2">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4.25" x14ac:dyDescent="0.2">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4.25" x14ac:dyDescent="0.2">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4.25" x14ac:dyDescent="0.2">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4.25" x14ac:dyDescent="0.2">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4.25" x14ac:dyDescent="0.2">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4.25" x14ac:dyDescent="0.2">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4.25" x14ac:dyDescent="0.2">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4.25" x14ac:dyDescent="0.2">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4.25" x14ac:dyDescent="0.2">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4.25" x14ac:dyDescent="0.2">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4.25" x14ac:dyDescent="0.2">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4.25" x14ac:dyDescent="0.2">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4.25" x14ac:dyDescent="0.2">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4.25" x14ac:dyDescent="0.2">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4.25" x14ac:dyDescent="0.2">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4.25" x14ac:dyDescent="0.2">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4.25" x14ac:dyDescent="0.2">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4.25" x14ac:dyDescent="0.2">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4.25" x14ac:dyDescent="0.2">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4.25" x14ac:dyDescent="0.2">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4.25" x14ac:dyDescent="0.2">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4.25" x14ac:dyDescent="0.2">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4.25" x14ac:dyDescent="0.2">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4.25" x14ac:dyDescent="0.2">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4.25" x14ac:dyDescent="0.2">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4.25" x14ac:dyDescent="0.2">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4.25" x14ac:dyDescent="0.2">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4.25" x14ac:dyDescent="0.2">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4.25" x14ac:dyDescent="0.2">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4.25" x14ac:dyDescent="0.2">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4.25" x14ac:dyDescent="0.2">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4.25" x14ac:dyDescent="0.2">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4.25" x14ac:dyDescent="0.2">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4.25" x14ac:dyDescent="0.2">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4.25" x14ac:dyDescent="0.2">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4.25" x14ac:dyDescent="0.2">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4.25" x14ac:dyDescent="0.2">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4.25" x14ac:dyDescent="0.2">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4.25" x14ac:dyDescent="0.2">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4.25" x14ac:dyDescent="0.2">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4.25" x14ac:dyDescent="0.2">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4.25" x14ac:dyDescent="0.2">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4.25" x14ac:dyDescent="0.2">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4.25" x14ac:dyDescent="0.2">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4.25" x14ac:dyDescent="0.2">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4.25" x14ac:dyDescent="0.2">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4.25" x14ac:dyDescent="0.2">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4.25" x14ac:dyDescent="0.2">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4.25" x14ac:dyDescent="0.2">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4.25" x14ac:dyDescent="0.2">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4.25" x14ac:dyDescent="0.2">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4.25" x14ac:dyDescent="0.2">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4.25" x14ac:dyDescent="0.2">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4.25" x14ac:dyDescent="0.2">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4.25" x14ac:dyDescent="0.2">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4.25" x14ac:dyDescent="0.2">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4.25" x14ac:dyDescent="0.2">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4.25" x14ac:dyDescent="0.2">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4.25" x14ac:dyDescent="0.2">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4.25" x14ac:dyDescent="0.2">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4.25" x14ac:dyDescent="0.2">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4.25" x14ac:dyDescent="0.2">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4.25" x14ac:dyDescent="0.2">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4.25" x14ac:dyDescent="0.2">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4.25" x14ac:dyDescent="0.2">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4.25" x14ac:dyDescent="0.2">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4.25" x14ac:dyDescent="0.2">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4.25" x14ac:dyDescent="0.2">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4.25" x14ac:dyDescent="0.2">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4.25" x14ac:dyDescent="0.2">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4.25" x14ac:dyDescent="0.2">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4.25" x14ac:dyDescent="0.2">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4.25" x14ac:dyDescent="0.2">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4.25" x14ac:dyDescent="0.2">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4.25" x14ac:dyDescent="0.2">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4.25" x14ac:dyDescent="0.2">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4.25" x14ac:dyDescent="0.2">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4.25" x14ac:dyDescent="0.2">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4.25" x14ac:dyDescent="0.2">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4.25" x14ac:dyDescent="0.2">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4.25" x14ac:dyDescent="0.2">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4.25" x14ac:dyDescent="0.2">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4.25" x14ac:dyDescent="0.2">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4.25" x14ac:dyDescent="0.2">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4.25" x14ac:dyDescent="0.2">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4.25" x14ac:dyDescent="0.2">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4.25" x14ac:dyDescent="0.2">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4.25" x14ac:dyDescent="0.2">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4.25" x14ac:dyDescent="0.2">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4.25" x14ac:dyDescent="0.2">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4.25" x14ac:dyDescent="0.2">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4.25" x14ac:dyDescent="0.2">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4.25" x14ac:dyDescent="0.2">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4.25" x14ac:dyDescent="0.2">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4.25" x14ac:dyDescent="0.2">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4.25" x14ac:dyDescent="0.2">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4.25" x14ac:dyDescent="0.2">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4.25" x14ac:dyDescent="0.2">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4.25" x14ac:dyDescent="0.2">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4.25" x14ac:dyDescent="0.2">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4.25" x14ac:dyDescent="0.2">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4.25" x14ac:dyDescent="0.2">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4.25" x14ac:dyDescent="0.2">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4.25" x14ac:dyDescent="0.2">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4.25" x14ac:dyDescent="0.2">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4.25" x14ac:dyDescent="0.2">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4.25" x14ac:dyDescent="0.2">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4.25" x14ac:dyDescent="0.2">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4.25" x14ac:dyDescent="0.2">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4.25" x14ac:dyDescent="0.2">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4.25" x14ac:dyDescent="0.2">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4.25" x14ac:dyDescent="0.2">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4.25" x14ac:dyDescent="0.2">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4.25" x14ac:dyDescent="0.2">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4.25" x14ac:dyDescent="0.2">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4.25" x14ac:dyDescent="0.2">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4.25" x14ac:dyDescent="0.2">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4.25" x14ac:dyDescent="0.2">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4.25" x14ac:dyDescent="0.2">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4.25" x14ac:dyDescent="0.2">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4.25" x14ac:dyDescent="0.2">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4.25" x14ac:dyDescent="0.2">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4.25" x14ac:dyDescent="0.2">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4.25" x14ac:dyDescent="0.2">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4.25" x14ac:dyDescent="0.2">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4.25" x14ac:dyDescent="0.2">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4.25" x14ac:dyDescent="0.2">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4.25" x14ac:dyDescent="0.2">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4.25" x14ac:dyDescent="0.2">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4.25" x14ac:dyDescent="0.2">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4.25" x14ac:dyDescent="0.2">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4.25" x14ac:dyDescent="0.2">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4.25" x14ac:dyDescent="0.2">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4.25" x14ac:dyDescent="0.2">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4.25" x14ac:dyDescent="0.2">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4.25" x14ac:dyDescent="0.2">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5" thickBot="1" x14ac:dyDescent="0.25">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5" thickBot="1" x14ac:dyDescent="0.25">
      <c r="E257" s="370" t="s">
        <v>309</v>
      </c>
      <c r="F257" s="321" t="s">
        <v>268</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269</v>
      </c>
      <c r="AA257" s="518">
        <f>SUM(AA11:AA256)</f>
        <v>0</v>
      </c>
    </row>
    <row r="258" spans="5:27" ht="15" thickBot="1" x14ac:dyDescent="0.25"/>
    <row r="259" spans="5:27" ht="15" thickBot="1" x14ac:dyDescent="0.25">
      <c r="E259" s="501" t="s">
        <v>270</v>
      </c>
      <c r="F259" s="47"/>
      <c r="G259" s="518">
        <f>IF('Detailed Results'!$K$40&gt;0,"Error",SUMIFS($G$11:$G$256,$F$11:$F$256,"&lt;&gt;"&amp;'G-1 All Habitats'!B73,$F$11:$F$256,"&lt;&gt;"&amp;'G-1 All Habitats'!B65,$F$11:$F$256,"&lt;&gt;"&amp;'G-1 All Habitats'!B66))</f>
        <v>0</v>
      </c>
    </row>
    <row r="260" spans="5:27" ht="14.25" x14ac:dyDescent="0.2"/>
    <row r="261" spans="5:27" ht="14.25" x14ac:dyDescent="0.2"/>
    <row r="262" spans="5:27" ht="14.25" x14ac:dyDescent="0.2"/>
    <row r="263" spans="5:27" ht="14.25" x14ac:dyDescent="0.2"/>
    <row r="264" spans="5:27" ht="14.25" hidden="1" x14ac:dyDescent="0.2">
      <c r="T264" s="31" t="s">
        <v>310</v>
      </c>
      <c r="U264" s="31" t="s">
        <v>310</v>
      </c>
      <c r="X264" s="31" t="s">
        <v>310</v>
      </c>
      <c r="AA264" s="31" t="s">
        <v>310</v>
      </c>
    </row>
    <row r="265" spans="5:27" ht="14.25" hidden="1" x14ac:dyDescent="0.2">
      <c r="T265" s="31" t="s">
        <v>310</v>
      </c>
      <c r="U265" s="31" t="s">
        <v>310</v>
      </c>
      <c r="X265" s="31" t="s">
        <v>310</v>
      </c>
      <c r="AA265" s="31" t="s">
        <v>310</v>
      </c>
    </row>
    <row r="266" spans="5:27" ht="14.25" hidden="1" x14ac:dyDescent="0.2"/>
    <row r="267" spans="5:27" ht="14.25" hidden="1" x14ac:dyDescent="0.2"/>
    <row r="268" spans="5:27" ht="14.25" hidden="1" x14ac:dyDescent="0.2"/>
    <row r="269" spans="5:27" ht="14.25" hidden="1" x14ac:dyDescent="0.2"/>
    <row r="270" spans="5:27" ht="14.25" hidden="1" x14ac:dyDescent="0.2"/>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4.25" zeroHeight="1" x14ac:dyDescent="0.2"/>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x14ac:dyDescent="0.25"/>
    <row r="2" spans="1:44" ht="19.899999999999999" customHeight="1" thickBot="1" x14ac:dyDescent="0.25">
      <c r="E2" s="743" t="str">
        <f>IF(Start!$F$12="","",Start!$F$12)</f>
        <v>Tyting Farm Mitigation Bank</v>
      </c>
      <c r="F2" s="744"/>
      <c r="G2" s="745"/>
      <c r="AD2" s="909" t="str">
        <f>IF(OR(COUNTIF($AD$12:AD257,"*30+*")&gt;0,COUNTIF(AH12:AH257,"*30+*")&gt;0),"Note; Habitat selected has a time to target condition greater than 30 years. Non standard agreement may be required. ⚠","")</f>
        <v/>
      </c>
      <c r="AE2" s="909"/>
      <c r="AF2" s="909"/>
      <c r="AG2" s="909"/>
      <c r="AH2" s="909"/>
      <c r="AI2" s="909"/>
    </row>
    <row r="3" spans="1:44" ht="15.75" customHeight="1" thickBot="1" x14ac:dyDescent="0.25">
      <c r="E3" s="971" t="str">
        <f ca="1">MID(CELL("filename",E1),FIND("]",CELL("filename",E1))+1,256)</f>
        <v>D-3 Off Site Habitat Enhancment</v>
      </c>
      <c r="F3" s="972"/>
      <c r="G3" s="973"/>
      <c r="AD3" s="909"/>
      <c r="AE3" s="909"/>
      <c r="AF3" s="909"/>
      <c r="AG3" s="909"/>
      <c r="AH3" s="909"/>
      <c r="AI3" s="909"/>
    </row>
    <row r="4" spans="1:44" ht="15.75" customHeight="1" thickBot="1" x14ac:dyDescent="0.3">
      <c r="E4" s="971"/>
      <c r="F4" s="972"/>
      <c r="G4" s="973"/>
      <c r="AB4" s="33"/>
      <c r="AC4" s="193"/>
      <c r="AD4" s="447"/>
      <c r="AE4" s="447"/>
      <c r="AF4" s="447"/>
      <c r="AG4" s="447"/>
      <c r="AH4" s="193"/>
      <c r="AI4" s="193"/>
      <c r="AJ4" s="193"/>
      <c r="AK4" s="193"/>
      <c r="AL4" s="193"/>
      <c r="AM4" s="193"/>
      <c r="AN4" s="193"/>
    </row>
    <row r="5" spans="1:44" ht="15" customHeight="1" x14ac:dyDescent="0.2">
      <c r="AD5" s="929" t="str">
        <f>IF(Q12&lt;&gt;A12,"Change in broad habitat type detected. Check compliance with guidance.","")</f>
        <v/>
      </c>
      <c r="AE5" s="929"/>
      <c r="AF5" s="929"/>
      <c r="AG5" s="929"/>
      <c r="AH5" s="929"/>
      <c r="AI5" s="929"/>
    </row>
    <row r="6" spans="1:44" ht="15.75" customHeight="1" x14ac:dyDescent="0.2">
      <c r="AD6" s="929"/>
      <c r="AE6" s="929"/>
      <c r="AF6" s="929"/>
      <c r="AG6" s="929"/>
      <c r="AH6" s="929"/>
      <c r="AI6" s="929"/>
    </row>
    <row r="7" spans="1:44" x14ac:dyDescent="0.2">
      <c r="F7" s="132"/>
      <c r="G7" s="131"/>
    </row>
    <row r="8" spans="1:44" ht="15" thickBot="1" x14ac:dyDescent="0.25"/>
    <row r="9" spans="1:44" ht="15" thickBot="1" x14ac:dyDescent="0.25">
      <c r="F9" s="131"/>
      <c r="G9" s="131"/>
      <c r="H9" s="131"/>
      <c r="I9" s="131"/>
      <c r="J9" s="131"/>
      <c r="K9" s="131"/>
      <c r="L9" s="131"/>
      <c r="M9" s="131"/>
      <c r="N9" s="131"/>
      <c r="O9" s="131"/>
      <c r="P9" s="131"/>
      <c r="Q9" s="950" t="s">
        <v>249</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 customHeight="1" thickBot="1" x14ac:dyDescent="0.25">
      <c r="F10" s="950" t="s">
        <v>271</v>
      </c>
      <c r="G10" s="951"/>
      <c r="H10" s="951"/>
      <c r="I10" s="951"/>
      <c r="J10" s="951"/>
      <c r="K10" s="951"/>
      <c r="L10" s="951"/>
      <c r="M10" s="951"/>
      <c r="N10" s="951"/>
      <c r="O10" s="952"/>
      <c r="P10" s="223"/>
      <c r="Q10" s="957" t="s">
        <v>311</v>
      </c>
      <c r="R10" s="958"/>
      <c r="S10" s="394"/>
      <c r="T10" s="957" t="s">
        <v>273</v>
      </c>
      <c r="U10" s="958"/>
      <c r="V10" s="964" t="s">
        <v>312</v>
      </c>
      <c r="W10" s="962" t="s">
        <v>195</v>
      </c>
      <c r="X10" s="962" t="s">
        <v>212</v>
      </c>
      <c r="Y10" s="962" t="s">
        <v>196</v>
      </c>
      <c r="Z10" s="960" t="s">
        <v>212</v>
      </c>
      <c r="AA10" s="957" t="s">
        <v>197</v>
      </c>
      <c r="AB10" s="959"/>
      <c r="AC10" s="959"/>
      <c r="AD10" s="966" t="s">
        <v>252</v>
      </c>
      <c r="AE10" s="967"/>
      <c r="AF10" s="967"/>
      <c r="AG10" s="967"/>
      <c r="AH10" s="967"/>
      <c r="AI10" s="968"/>
      <c r="AJ10" s="966" t="s">
        <v>253</v>
      </c>
      <c r="AK10" s="967"/>
      <c r="AL10" s="967"/>
      <c r="AM10" s="968"/>
      <c r="AN10" s="957" t="s">
        <v>305</v>
      </c>
      <c r="AO10" s="958"/>
      <c r="AP10" s="969" t="s">
        <v>254</v>
      </c>
      <c r="AQ10" s="957" t="s">
        <v>202</v>
      </c>
      <c r="AR10" s="958"/>
    </row>
    <row r="11" spans="1:44" ht="51.6" customHeight="1" thickBot="1" x14ac:dyDescent="0.25">
      <c r="A11" s="131" t="s">
        <v>208</v>
      </c>
      <c r="B11" s="131" t="s">
        <v>277</v>
      </c>
      <c r="C11" s="131" t="s">
        <v>206</v>
      </c>
      <c r="E11" s="135" t="s">
        <v>278</v>
      </c>
      <c r="F11" s="136" t="s">
        <v>279</v>
      </c>
      <c r="G11" s="136" t="s">
        <v>267</v>
      </c>
      <c r="H11" s="136" t="s">
        <v>281</v>
      </c>
      <c r="I11" s="136" t="s">
        <v>282</v>
      </c>
      <c r="J11" s="136" t="s">
        <v>283</v>
      </c>
      <c r="K11" s="136" t="s">
        <v>284</v>
      </c>
      <c r="L11" s="136" t="s">
        <v>285</v>
      </c>
      <c r="M11" s="136" t="s">
        <v>286</v>
      </c>
      <c r="N11" s="136" t="s">
        <v>287</v>
      </c>
      <c r="O11" s="137" t="s">
        <v>198</v>
      </c>
      <c r="P11" s="224" t="s">
        <v>306</v>
      </c>
      <c r="Q11" s="367" t="s">
        <v>289</v>
      </c>
      <c r="R11" s="201" t="s">
        <v>313</v>
      </c>
      <c r="S11" s="393" t="s">
        <v>314</v>
      </c>
      <c r="T11" s="367" t="s">
        <v>290</v>
      </c>
      <c r="U11" s="201" t="s">
        <v>291</v>
      </c>
      <c r="V11" s="965"/>
      <c r="W11" s="963"/>
      <c r="X11" s="963"/>
      <c r="Y11" s="963"/>
      <c r="Z11" s="961"/>
      <c r="AA11" s="367" t="s">
        <v>197</v>
      </c>
      <c r="AB11" s="200" t="s">
        <v>197</v>
      </c>
      <c r="AC11" s="201" t="s">
        <v>255</v>
      </c>
      <c r="AD11" s="367" t="s">
        <v>256</v>
      </c>
      <c r="AE11" s="200" t="s">
        <v>292</v>
      </c>
      <c r="AF11" s="200" t="s">
        <v>293</v>
      </c>
      <c r="AG11" s="200" t="s">
        <v>259</v>
      </c>
      <c r="AH11" s="200" t="s">
        <v>260</v>
      </c>
      <c r="AI11" s="201" t="s">
        <v>261</v>
      </c>
      <c r="AJ11" s="367" t="s">
        <v>315</v>
      </c>
      <c r="AK11" s="200" t="s">
        <v>307</v>
      </c>
      <c r="AL11" s="200" t="s">
        <v>316</v>
      </c>
      <c r="AM11" s="201" t="s">
        <v>265</v>
      </c>
      <c r="AN11" s="207" t="s">
        <v>308</v>
      </c>
      <c r="AO11" s="225" t="s">
        <v>305</v>
      </c>
      <c r="AP11" s="970"/>
      <c r="AQ11" s="141" t="s">
        <v>221</v>
      </c>
      <c r="AR11" s="358" t="s">
        <v>222</v>
      </c>
    </row>
    <row r="12" spans="1:44" x14ac:dyDescent="0.2">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x14ac:dyDescent="0.2">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x14ac:dyDescent="0.2">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x14ac:dyDescent="0.2">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x14ac:dyDescent="0.2">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x14ac:dyDescent="0.2">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x14ac:dyDescent="0.2">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x14ac:dyDescent="0.2">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x14ac:dyDescent="0.2">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x14ac:dyDescent="0.2">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x14ac:dyDescent="0.2">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x14ac:dyDescent="0.2">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x14ac:dyDescent="0.2">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x14ac:dyDescent="0.2">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x14ac:dyDescent="0.2">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x14ac:dyDescent="0.2">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x14ac:dyDescent="0.2">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x14ac:dyDescent="0.2">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x14ac:dyDescent="0.2">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x14ac:dyDescent="0.2">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x14ac:dyDescent="0.2">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x14ac:dyDescent="0.2">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x14ac:dyDescent="0.2">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x14ac:dyDescent="0.2">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x14ac:dyDescent="0.2">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x14ac:dyDescent="0.2">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x14ac:dyDescent="0.2">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x14ac:dyDescent="0.2">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x14ac:dyDescent="0.2">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x14ac:dyDescent="0.2">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x14ac:dyDescent="0.2">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x14ac:dyDescent="0.2">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x14ac:dyDescent="0.2">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x14ac:dyDescent="0.2">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x14ac:dyDescent="0.2">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x14ac:dyDescent="0.2">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x14ac:dyDescent="0.2">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x14ac:dyDescent="0.2">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x14ac:dyDescent="0.2">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x14ac:dyDescent="0.2">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x14ac:dyDescent="0.2">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x14ac:dyDescent="0.2">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x14ac:dyDescent="0.2">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x14ac:dyDescent="0.2">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x14ac:dyDescent="0.2">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x14ac:dyDescent="0.2">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x14ac:dyDescent="0.2">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x14ac:dyDescent="0.2">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x14ac:dyDescent="0.2">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x14ac:dyDescent="0.2">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x14ac:dyDescent="0.2">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x14ac:dyDescent="0.2">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x14ac:dyDescent="0.2">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x14ac:dyDescent="0.2">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x14ac:dyDescent="0.2">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x14ac:dyDescent="0.2">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x14ac:dyDescent="0.2">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x14ac:dyDescent="0.2">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x14ac:dyDescent="0.2">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x14ac:dyDescent="0.2">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x14ac:dyDescent="0.2">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x14ac:dyDescent="0.2">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x14ac:dyDescent="0.2">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x14ac:dyDescent="0.2">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x14ac:dyDescent="0.2">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x14ac:dyDescent="0.2">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x14ac:dyDescent="0.2">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x14ac:dyDescent="0.2">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x14ac:dyDescent="0.2">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x14ac:dyDescent="0.2">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x14ac:dyDescent="0.2">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x14ac:dyDescent="0.2">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x14ac:dyDescent="0.2">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x14ac:dyDescent="0.2">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x14ac:dyDescent="0.2">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x14ac:dyDescent="0.2">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x14ac:dyDescent="0.2">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x14ac:dyDescent="0.2">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x14ac:dyDescent="0.2">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x14ac:dyDescent="0.2">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x14ac:dyDescent="0.2">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x14ac:dyDescent="0.2">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x14ac:dyDescent="0.2">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x14ac:dyDescent="0.2">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x14ac:dyDescent="0.2">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x14ac:dyDescent="0.2">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x14ac:dyDescent="0.2">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x14ac:dyDescent="0.2">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x14ac:dyDescent="0.2">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x14ac:dyDescent="0.2">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x14ac:dyDescent="0.2">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x14ac:dyDescent="0.2">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x14ac:dyDescent="0.2">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x14ac:dyDescent="0.2">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x14ac:dyDescent="0.2">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x14ac:dyDescent="0.2">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x14ac:dyDescent="0.2">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x14ac:dyDescent="0.2">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x14ac:dyDescent="0.2">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x14ac:dyDescent="0.2">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x14ac:dyDescent="0.2">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x14ac:dyDescent="0.2">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x14ac:dyDescent="0.2">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x14ac:dyDescent="0.2">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x14ac:dyDescent="0.2">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x14ac:dyDescent="0.2">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x14ac:dyDescent="0.2">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x14ac:dyDescent="0.2">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x14ac:dyDescent="0.2">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x14ac:dyDescent="0.2">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x14ac:dyDescent="0.2">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x14ac:dyDescent="0.2">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x14ac:dyDescent="0.2">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x14ac:dyDescent="0.2">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x14ac:dyDescent="0.2">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x14ac:dyDescent="0.2">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x14ac:dyDescent="0.2">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x14ac:dyDescent="0.2">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x14ac:dyDescent="0.2">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x14ac:dyDescent="0.2">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x14ac:dyDescent="0.2">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x14ac:dyDescent="0.2">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x14ac:dyDescent="0.2">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x14ac:dyDescent="0.2">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x14ac:dyDescent="0.2">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x14ac:dyDescent="0.2">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x14ac:dyDescent="0.2">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x14ac:dyDescent="0.2">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x14ac:dyDescent="0.2">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x14ac:dyDescent="0.2">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x14ac:dyDescent="0.2">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x14ac:dyDescent="0.2">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x14ac:dyDescent="0.2">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x14ac:dyDescent="0.2">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x14ac:dyDescent="0.2">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x14ac:dyDescent="0.2">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x14ac:dyDescent="0.2">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x14ac:dyDescent="0.2">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x14ac:dyDescent="0.2">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x14ac:dyDescent="0.2">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x14ac:dyDescent="0.2">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x14ac:dyDescent="0.2">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x14ac:dyDescent="0.2">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x14ac:dyDescent="0.2">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x14ac:dyDescent="0.2">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x14ac:dyDescent="0.2">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x14ac:dyDescent="0.2">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x14ac:dyDescent="0.2">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x14ac:dyDescent="0.2">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x14ac:dyDescent="0.2">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x14ac:dyDescent="0.2">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x14ac:dyDescent="0.2">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x14ac:dyDescent="0.2">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x14ac:dyDescent="0.2">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x14ac:dyDescent="0.2">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x14ac:dyDescent="0.2">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x14ac:dyDescent="0.2">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x14ac:dyDescent="0.2">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x14ac:dyDescent="0.2">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x14ac:dyDescent="0.2">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x14ac:dyDescent="0.2">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x14ac:dyDescent="0.2">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x14ac:dyDescent="0.2">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x14ac:dyDescent="0.2">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x14ac:dyDescent="0.2">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x14ac:dyDescent="0.2">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x14ac:dyDescent="0.2">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x14ac:dyDescent="0.2">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x14ac:dyDescent="0.2">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x14ac:dyDescent="0.2">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x14ac:dyDescent="0.2">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x14ac:dyDescent="0.2">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x14ac:dyDescent="0.2">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x14ac:dyDescent="0.2">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x14ac:dyDescent="0.2">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x14ac:dyDescent="0.2">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x14ac:dyDescent="0.2">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x14ac:dyDescent="0.2">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x14ac:dyDescent="0.2">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x14ac:dyDescent="0.2">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x14ac:dyDescent="0.2">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x14ac:dyDescent="0.2">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x14ac:dyDescent="0.2">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x14ac:dyDescent="0.2">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x14ac:dyDescent="0.2">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x14ac:dyDescent="0.2">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x14ac:dyDescent="0.2">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x14ac:dyDescent="0.2">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x14ac:dyDescent="0.2">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x14ac:dyDescent="0.2">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x14ac:dyDescent="0.2">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x14ac:dyDescent="0.2">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x14ac:dyDescent="0.2">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x14ac:dyDescent="0.2">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x14ac:dyDescent="0.2">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x14ac:dyDescent="0.2">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x14ac:dyDescent="0.2">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x14ac:dyDescent="0.2">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x14ac:dyDescent="0.2">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x14ac:dyDescent="0.2">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x14ac:dyDescent="0.2">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x14ac:dyDescent="0.2">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x14ac:dyDescent="0.2">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x14ac:dyDescent="0.2">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x14ac:dyDescent="0.2">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x14ac:dyDescent="0.2">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x14ac:dyDescent="0.2">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x14ac:dyDescent="0.2">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x14ac:dyDescent="0.2">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x14ac:dyDescent="0.2">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x14ac:dyDescent="0.2">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x14ac:dyDescent="0.2">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x14ac:dyDescent="0.2">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x14ac:dyDescent="0.2">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x14ac:dyDescent="0.2">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x14ac:dyDescent="0.2">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x14ac:dyDescent="0.2">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x14ac:dyDescent="0.2">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x14ac:dyDescent="0.2">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x14ac:dyDescent="0.2">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x14ac:dyDescent="0.2">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x14ac:dyDescent="0.2">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x14ac:dyDescent="0.2">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x14ac:dyDescent="0.2">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x14ac:dyDescent="0.2">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x14ac:dyDescent="0.2">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x14ac:dyDescent="0.2">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x14ac:dyDescent="0.2">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x14ac:dyDescent="0.2">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x14ac:dyDescent="0.2">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x14ac:dyDescent="0.2">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x14ac:dyDescent="0.2">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x14ac:dyDescent="0.2">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x14ac:dyDescent="0.2">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x14ac:dyDescent="0.2">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x14ac:dyDescent="0.2">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x14ac:dyDescent="0.2">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x14ac:dyDescent="0.2">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x14ac:dyDescent="0.2">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x14ac:dyDescent="0.2">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x14ac:dyDescent="0.2">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x14ac:dyDescent="0.2">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x14ac:dyDescent="0.2">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x14ac:dyDescent="0.2">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x14ac:dyDescent="0.2">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x14ac:dyDescent="0.2">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5" thickBot="1" x14ac:dyDescent="0.2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x14ac:dyDescent="0.25">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x14ac:dyDescent="0.2">
      <c r="V260" s="31" t="str">
        <f>IF(V259&lt;&gt;'D-1 Off Site Habitat Baseline'!T259,"Error - Area of habitat enhancement must match the area from sheet D1 ▲","")</f>
        <v/>
      </c>
    </row>
    <row r="261" spans="1:44" x14ac:dyDescent="0.2"/>
    <row r="262" spans="1:44" x14ac:dyDescent="0.2"/>
    <row r="263" spans="1:44" x14ac:dyDescent="0.2"/>
    <row r="264" spans="1:44" x14ac:dyDescent="0.2"/>
    <row r="265" spans="1:44" x14ac:dyDescent="0.2"/>
    <row r="266" spans="1:44" x14ac:dyDescent="0.2"/>
    <row r="267" spans="1:44" x14ac:dyDescent="0.2"/>
    <row r="268" spans="1:44" x14ac:dyDescent="0.2"/>
    <row r="269" spans="1:44" x14ac:dyDescent="0.2"/>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60" zoomScaleNormal="60" workbookViewId="0">
      <pane ySplit="9" topLeftCell="A10" activePane="bottomLeft" state="frozen"/>
      <selection activeCell="S28" sqref="S28"/>
      <selection pane="bottomLeft" activeCell="Q10" sqref="Q10:Q21"/>
    </sheetView>
  </sheetViews>
  <sheetFormatPr defaultColWidth="8.85546875" defaultRowHeight="0" customHeight="1" zeroHeight="1" x14ac:dyDescent="0.2"/>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x14ac:dyDescent="0.25"/>
    <row r="2" spans="2:38" ht="20.25" customHeight="1" thickBot="1" x14ac:dyDescent="0.25">
      <c r="B2" s="743" t="str">
        <f>IF([1]Start!$F$12="","",[1]Start!$F$12)</f>
        <v/>
      </c>
      <c r="C2" s="744"/>
      <c r="D2" s="745"/>
    </row>
    <row r="3" spans="2:38" ht="20.45" customHeight="1" x14ac:dyDescent="0.2">
      <c r="B3" s="974" t="str">
        <f ca="1">MID(CELL("filename",A1),FIND("]",CELL("filename",A1))+1,256)</f>
        <v>B-1 Site Hedge Baseline</v>
      </c>
      <c r="C3" s="975"/>
      <c r="D3" s="976"/>
    </row>
    <row r="4" spans="2:38" ht="10.9" customHeight="1" thickBot="1" x14ac:dyDescent="0.25">
      <c r="B4" s="977"/>
      <c r="C4" s="978"/>
      <c r="D4" s="979"/>
    </row>
    <row r="5" spans="2:38" ht="15.75" customHeight="1" x14ac:dyDescent="0.2"/>
    <row r="6" spans="2:38" ht="20.45" customHeight="1" x14ac:dyDescent="0.2"/>
    <row r="7" spans="2:38" ht="45" customHeight="1" thickBot="1" x14ac:dyDescent="0.25">
      <c r="B7" s="132"/>
      <c r="C7" s="132"/>
      <c r="E7" s="131"/>
    </row>
    <row r="8" spans="2:38" s="42" customFormat="1" ht="28.5" customHeight="1" thickBot="1" x14ac:dyDescent="0.25">
      <c r="B8" s="40"/>
      <c r="C8" s="966" t="s">
        <v>317</v>
      </c>
      <c r="D8" s="967"/>
      <c r="E8" s="968"/>
      <c r="F8" s="939" t="s">
        <v>297</v>
      </c>
      <c r="G8" s="939"/>
      <c r="H8" s="939" t="s">
        <v>298</v>
      </c>
      <c r="I8" s="939"/>
      <c r="J8" s="939" t="s">
        <v>197</v>
      </c>
      <c r="K8" s="939"/>
      <c r="L8" s="939"/>
      <c r="M8" s="969" t="s">
        <v>198</v>
      </c>
      <c r="N8" s="167" t="s">
        <v>199</v>
      </c>
      <c r="O8" s="31"/>
      <c r="P8" s="966" t="s">
        <v>200</v>
      </c>
      <c r="Q8" s="967"/>
      <c r="R8" s="967"/>
      <c r="S8" s="967"/>
      <c r="T8" s="967"/>
      <c r="U8" s="968"/>
      <c r="V8" s="966" t="s">
        <v>202</v>
      </c>
      <c r="W8" s="968"/>
    </row>
    <row r="9" spans="2:38" ht="45.75" customHeight="1" thickBot="1" x14ac:dyDescent="0.25">
      <c r="B9" s="135" t="s">
        <v>278</v>
      </c>
      <c r="C9" s="200" t="s">
        <v>318</v>
      </c>
      <c r="D9" s="200" t="s">
        <v>105</v>
      </c>
      <c r="E9" s="201" t="s">
        <v>319</v>
      </c>
      <c r="F9" s="367" t="s">
        <v>195</v>
      </c>
      <c r="G9" s="201" t="s">
        <v>212</v>
      </c>
      <c r="H9" s="367" t="s">
        <v>196</v>
      </c>
      <c r="I9" s="201" t="s">
        <v>212</v>
      </c>
      <c r="J9" s="367" t="s">
        <v>197</v>
      </c>
      <c r="K9" s="200" t="s">
        <v>197</v>
      </c>
      <c r="L9" s="201" t="s">
        <v>255</v>
      </c>
      <c r="M9" s="970"/>
      <c r="N9" s="206" t="s">
        <v>320</v>
      </c>
      <c r="P9" s="367" t="s">
        <v>321</v>
      </c>
      <c r="Q9" s="200" t="s">
        <v>322</v>
      </c>
      <c r="R9" s="200" t="s">
        <v>323</v>
      </c>
      <c r="S9" s="200" t="s">
        <v>324</v>
      </c>
      <c r="T9" s="200" t="s">
        <v>325</v>
      </c>
      <c r="U9" s="201" t="s">
        <v>220</v>
      </c>
      <c r="V9" s="207" t="s">
        <v>221</v>
      </c>
      <c r="W9" s="208" t="s">
        <v>222</v>
      </c>
      <c r="AE9" s="156" t="s">
        <v>225</v>
      </c>
      <c r="AF9" s="156" t="s">
        <v>226</v>
      </c>
      <c r="AH9" s="156" t="s">
        <v>228</v>
      </c>
      <c r="AJ9" s="156" t="s">
        <v>225</v>
      </c>
      <c r="AK9" s="156" t="s">
        <v>226</v>
      </c>
      <c r="AL9" s="131" t="s">
        <v>206</v>
      </c>
    </row>
    <row r="10" spans="2:38" ht="42.75" x14ac:dyDescent="0.2">
      <c r="B10" s="141">
        <v>1</v>
      </c>
      <c r="C10" s="202"/>
      <c r="D10" s="82" t="s">
        <v>123</v>
      </c>
      <c r="E10" s="172">
        <v>5.1999999999999998E-2</v>
      </c>
      <c r="F10" s="552" t="str">
        <f>IF(D10="","",VLOOKUP(D10,'G-6 Hedgerow Data'!$B$2:$AG$15,2,FALSE))</f>
        <v>Low</v>
      </c>
      <c r="G10" s="498">
        <f>IF(D10="","",VLOOKUP(D10,'G-6 Hedgerow Data'!$B$2:$AG$15,3,FALSE))</f>
        <v>2</v>
      </c>
      <c r="H10" s="145" t="s">
        <v>27</v>
      </c>
      <c r="I10" s="498">
        <f>IFERROR(VLOOKUP(H10,'G-1 All Habitats'!$Z$2:$AA$9,2,FALSE),"")</f>
        <v>3</v>
      </c>
      <c r="J10" s="145" t="s">
        <v>231</v>
      </c>
      <c r="K10" s="519" t="str">
        <f>IF(J10="","",IF(VLOOKUP(J10,'G-3 Multipliers'!$L$3:$N$6,2,FALSE)=0,"Spatial Data Missing",VLOOKUP(J10,'G-3 Multipliers'!$L$3:$N$6,2,FALSE)))</f>
        <v xml:space="preserve">High strategic significance </v>
      </c>
      <c r="L10" s="504">
        <f>IF(J10="","",IF(VLOOKUP(J10,'G-3 Multipliers'!$L$3:$N$6,3,FALSE)=0,"Spatial Data Missing ⚠",VLOOKUP(J10,'G-3 Multipliers'!$L$3:$N$6,3,FALSE)))</f>
        <v>1.1499999999999999</v>
      </c>
      <c r="M10" s="505" t="str">
        <f>IF(D10="","",VLOOKUP(D10,'G-6 Hedgerow Data'!$B$1:$AH$15,33,FALSE))</f>
        <v>Same distinctiveness band or better</v>
      </c>
      <c r="N10" s="512">
        <f>IFERROR(E10*G10*I10*L10,"")</f>
        <v>0.35879999999999995</v>
      </c>
      <c r="O10" s="40"/>
      <c r="P10" s="154">
        <v>5.1999999999999998E-2</v>
      </c>
      <c r="Q10" s="154">
        <v>0</v>
      </c>
      <c r="R10" s="531">
        <f>IFERROR(P10*G10*I10*L10,"")</f>
        <v>0.35879999999999995</v>
      </c>
      <c r="S10" s="531">
        <f>IFERROR(Q10*G10*I10*L10,"")</f>
        <v>0</v>
      </c>
      <c r="T10" s="531">
        <f>IF(D10="","",IF(E10-P10-Q10=0&lt;0,"Error in lengths ▲",IF(P10+Q10&gt;E10,"Error in Lengths ▲",E10-P10-Q10)))</f>
        <v>0</v>
      </c>
      <c r="U10" s="556">
        <f>IF(OR(E10="",N10=""),"",IF(E10-P10-Q10=0&lt;0,"Error in Lengths ▲",IF(P10+Q10&gt;E10,"Error in Lengths ▲",N10-R10-S10)))</f>
        <v>0</v>
      </c>
      <c r="V10" s="169"/>
      <c r="W10" s="170"/>
      <c r="AE10" s="156" t="b">
        <f t="shared" ref="AE10:AE73" si="0">IF(D10="","",IF(P10&gt;0,TRUE,FALSE))</f>
        <v>1</v>
      </c>
      <c r="AF10" s="156" t="b">
        <f t="shared" ref="AF10:AF73" si="1">IF(D10="","",IF(Q10&gt;0,TRUE,FALSE))</f>
        <v>0</v>
      </c>
      <c r="AH10" s="156">
        <v>1</v>
      </c>
      <c r="AJ10" s="156">
        <f t="array" ref="AJ10">IFERROR(INDEX($AH$10:$AH$258, MATCH(0, IF(TRUE=$AE$10:$AE$258, COUNTIF($AJ9:$AJ$9, $AH$10:$AH$258), ""), 0)),"")</f>
        <v>1</v>
      </c>
      <c r="AK10" s="156">
        <f t="array" ref="AK10">IFERROR(INDEX($AH$10:$AH$258, MATCH(0, IF(TRUE=$AF$10:$AF$258, COUNTIF($AK9:$AK$9, $AH$10:$AH$258), ""), 0)),"")</f>
        <v>5</v>
      </c>
      <c r="AL10" s="31" t="str">
        <f>IFERROR(INDEX('G-6 Hedgerow Data'!$BJ$3:$BJ$15,MATCH(D10,'G-6 Hedgerow Data'!$B$3:$B$15,0)),"")</f>
        <v>Hedgecond1</v>
      </c>
    </row>
    <row r="11" spans="2:38" ht="42.75" x14ac:dyDescent="0.2">
      <c r="B11" s="141">
        <v>2</v>
      </c>
      <c r="C11" s="202"/>
      <c r="D11" s="82" t="s">
        <v>123</v>
      </c>
      <c r="E11" s="172">
        <v>0.17899999999999999</v>
      </c>
      <c r="F11" s="552" t="str">
        <f>IF(D11="","",VLOOKUP(D11,'G-6 Hedgerow Data'!$B$2:$AG$15,2,FALSE))</f>
        <v>Low</v>
      </c>
      <c r="G11" s="498">
        <f>IF(D11="","",VLOOKUP(D11,'G-6 Hedgerow Data'!$B$2:$AG$15,3,FALSE))</f>
        <v>2</v>
      </c>
      <c r="H11" s="145" t="s">
        <v>26</v>
      </c>
      <c r="I11" s="498">
        <f>IFERROR(VLOOKUP(H11,'G-1 All Habitats'!$Z$2:$AA$9,2,FALSE),"")</f>
        <v>2</v>
      </c>
      <c r="J11" s="145" t="s">
        <v>231</v>
      </c>
      <c r="K11" s="506" t="str">
        <f>IF(J11="","",IF(VLOOKUP(J11,'G-3 Multipliers'!$L$3:$N$6,2,FALSE)=0,"Spatial Data Missing",VLOOKUP(J11,'G-3 Multipliers'!$L$3:$N$6,2,FALSE)))</f>
        <v xml:space="preserve">High strategic significance </v>
      </c>
      <c r="L11" s="504">
        <f>IF(J11="","",IF(VLOOKUP(J11,'G-3 Multipliers'!$L$3:$N$6,3,FALSE)=0,"Spatial Data Missing ⚠",VLOOKUP(J11,'G-3 Multipliers'!$L$3:$N$6,3,FALSE)))</f>
        <v>1.1499999999999999</v>
      </c>
      <c r="M11" s="505" t="str">
        <f>IF(D11="","",VLOOKUP(D11,'G-6 Hedgerow Data'!$B$1:$AH$15,33,FALSE))</f>
        <v>Same distinctiveness band or better</v>
      </c>
      <c r="N11" s="512">
        <f t="shared" ref="N11:N74" si="2">IFERROR(E11*G11*I11*L11,"")</f>
        <v>0.82339999999999991</v>
      </c>
      <c r="O11" s="40"/>
      <c r="P11" s="154">
        <v>0</v>
      </c>
      <c r="Q11" s="154">
        <v>0</v>
      </c>
      <c r="R11" s="531">
        <f t="shared" ref="R11:R74" si="3">IFERROR(P11*G11*I11*L11,"")</f>
        <v>0</v>
      </c>
      <c r="S11" s="531">
        <f t="shared" ref="S11:S74" si="4">IFERROR(Q11*G11*I11*L11,"")</f>
        <v>0</v>
      </c>
      <c r="T11" s="531">
        <f t="shared" ref="T11:T74" si="5">IF(D11="","",IF(E11-P11-Q11=0&lt;0,"Error in lengths ▲",IF(P11+Q11&gt;E11,"Error in Lengths ▲",E11-P11-Q11)))</f>
        <v>0.17899999999999999</v>
      </c>
      <c r="U11" s="556">
        <f>IF(OR(E11="",N11=""),"",IF(E11-P11-Q11=0&lt;0,"Error in Lengths ▲",IF(P11+Q11&gt;E11,"Error in Lengths ▲",N11-R11-S11)))</f>
        <v>0.82339999999999991</v>
      </c>
      <c r="V11" s="151"/>
      <c r="W11" s="152"/>
      <c r="AE11" s="156" t="b">
        <f t="shared" si="0"/>
        <v>0</v>
      </c>
      <c r="AF11" s="156" t="b">
        <f t="shared" si="1"/>
        <v>0</v>
      </c>
      <c r="AH11" s="156">
        <v>2</v>
      </c>
      <c r="AJ11" s="156">
        <f t="array" ref="AJ11">IFERROR(INDEX($AH$10:$AH$258, MATCH(0, IF(TRUE=$AE$10:$AE$258, COUNTIF($AJ$9:$AJ10, $AH$10:$AH$258), ""), 0)),"")</f>
        <v>4</v>
      </c>
      <c r="AK11" s="156">
        <f t="array" ref="AK11">IFERROR(INDEX($AH$10:$AH$258, MATCH(0, IF(TRUE=$AF$10:$AF$258, COUNTIF($AK$9:$AK10, $AH$10:$AH$258), ""), 0)),"")</f>
        <v>7</v>
      </c>
      <c r="AL11" s="31" t="str">
        <f>IFERROR(INDEX('G-6 Hedgerow Data'!$BJ$3:$BJ$15,MATCH(D11,'G-6 Hedgerow Data'!$B$3:$B$15,0)),"")</f>
        <v>Hedgecond1</v>
      </c>
    </row>
    <row r="12" spans="2:38" ht="42.75" x14ac:dyDescent="0.2">
      <c r="B12" s="141">
        <v>3</v>
      </c>
      <c r="C12" s="202"/>
      <c r="D12" s="82" t="s">
        <v>123</v>
      </c>
      <c r="E12" s="172">
        <v>0.39900000000000002</v>
      </c>
      <c r="F12" s="552" t="str">
        <f>IF(D12="","",VLOOKUP(D12,'G-6 Hedgerow Data'!$B$2:$AG$15,2,FALSE))</f>
        <v>Low</v>
      </c>
      <c r="G12" s="498">
        <f>IF(D12="","",VLOOKUP(D12,'G-6 Hedgerow Data'!$B$2:$AG$15,3,FALSE))</f>
        <v>2</v>
      </c>
      <c r="H12" s="145" t="s">
        <v>233</v>
      </c>
      <c r="I12" s="498">
        <f>IFERROR(VLOOKUP(H12,'G-1 All Habitats'!$Z$2:$AA$9,2,FALSE),"")</f>
        <v>1</v>
      </c>
      <c r="J12" s="145" t="s">
        <v>231</v>
      </c>
      <c r="K12" s="506" t="str">
        <f>IF(J12="","",IF(VLOOKUP(J12,'G-3 Multipliers'!$L$3:$N$6,2,FALSE)=0,"Spatial Data Missing",VLOOKUP(J12,'G-3 Multipliers'!$L$3:$N$6,2,FALSE)))</f>
        <v xml:space="preserve">High strategic significance </v>
      </c>
      <c r="L12" s="504">
        <f>IF(J12="","",IF(VLOOKUP(J12,'G-3 Multipliers'!$L$3:$N$6,3,FALSE)=0,"Spatial Data Missing ⚠",VLOOKUP(J12,'G-3 Multipliers'!$L$3:$N$6,3,FALSE)))</f>
        <v>1.1499999999999999</v>
      </c>
      <c r="M12" s="505" t="str">
        <f>IF(D12="","",VLOOKUP(D12,'G-6 Hedgerow Data'!$B$1:$AH$15,33,FALSE))</f>
        <v>Same distinctiveness band or better</v>
      </c>
      <c r="N12" s="512">
        <f t="shared" si="2"/>
        <v>0.91769999999999996</v>
      </c>
      <c r="O12" s="40"/>
      <c r="P12" s="154">
        <v>0</v>
      </c>
      <c r="Q12" s="154">
        <v>0</v>
      </c>
      <c r="R12" s="531">
        <f t="shared" si="3"/>
        <v>0</v>
      </c>
      <c r="S12" s="531">
        <f t="shared" si="4"/>
        <v>0</v>
      </c>
      <c r="T12" s="531">
        <f t="shared" si="5"/>
        <v>0.39900000000000002</v>
      </c>
      <c r="U12" s="556">
        <f t="shared" ref="U12:U75" si="6">IF(OR(E12="",N12=""),"",IF(E12-P12-Q12=0&lt;0,"Error in Lengths ▲",IF(P12+Q12&gt;E12,"Error in Lengths ▲",N12-R12-S12)))</f>
        <v>0.91769999999999996</v>
      </c>
      <c r="V12" s="151"/>
      <c r="W12" s="152"/>
      <c r="AE12" s="156" t="b">
        <f t="shared" si="0"/>
        <v>0</v>
      </c>
      <c r="AF12" s="156" t="b">
        <f t="shared" si="1"/>
        <v>0</v>
      </c>
      <c r="AH12" s="156">
        <v>3</v>
      </c>
      <c r="AJ12" s="156">
        <f t="array" ref="AJ12">IFERROR(INDEX($AH$10:$AH$258, MATCH(0, IF(TRUE=$AE$10:$AE$258, COUNTIF($AJ$9:$AJ11, $AH$10:$AH$258), ""), 0)),"")</f>
        <v>6</v>
      </c>
      <c r="AK12" s="156">
        <f t="array" ref="AK12">IFERROR(INDEX($AH$10:$AH$258, MATCH(0, IF(TRUE=$AF$10:$AF$258, COUNTIF($AK$9:$AK11, $AH$10:$AH$258), ""), 0)),"")</f>
        <v>9</v>
      </c>
      <c r="AL12" s="31" t="str">
        <f>IFERROR(INDEX('G-6 Hedgerow Data'!$BJ$3:$BJ$15,MATCH(D12,'G-6 Hedgerow Data'!$B$3:$B$15,0)),"")</f>
        <v>Hedgecond1</v>
      </c>
    </row>
    <row r="13" spans="2:38" ht="28.5" x14ac:dyDescent="0.2">
      <c r="B13" s="141">
        <v>4</v>
      </c>
      <c r="C13" s="202"/>
      <c r="D13" s="82" t="s">
        <v>119</v>
      </c>
      <c r="E13" s="172">
        <v>0.45300000000000001</v>
      </c>
      <c r="F13" s="552" t="str">
        <f>IF(D13="","",VLOOKUP(D13,'G-6 Hedgerow Data'!$B$2:$AG$15,2,FALSE))</f>
        <v>Medium</v>
      </c>
      <c r="G13" s="498">
        <f>IF(D13="","",VLOOKUP(D13,'G-6 Hedgerow Data'!$B$2:$AG$15,3,FALSE))</f>
        <v>4</v>
      </c>
      <c r="H13" s="145" t="s">
        <v>27</v>
      </c>
      <c r="I13" s="498">
        <f>IFERROR(VLOOKUP(H13,'G-1 All Habitats'!$Z$2:$AA$9,2,FALSE),"")</f>
        <v>3</v>
      </c>
      <c r="J13" s="145" t="s">
        <v>231</v>
      </c>
      <c r="K13" s="506" t="str">
        <f>IF(J13="","",IF(VLOOKUP(J13,'G-3 Multipliers'!$L$3:$N$6,2,FALSE)=0,"Spatial Data Missing",VLOOKUP(J13,'G-3 Multipliers'!$L$3:$N$6,2,FALSE)))</f>
        <v xml:space="preserve">High strategic significance </v>
      </c>
      <c r="L13" s="504">
        <f>IF(J13="","",IF(VLOOKUP(J13,'G-3 Multipliers'!$L$3:$N$6,3,FALSE)=0,"Spatial Data Missing ⚠",VLOOKUP(J13,'G-3 Multipliers'!$L$3:$N$6,3,FALSE)))</f>
        <v>1.1499999999999999</v>
      </c>
      <c r="M13" s="505" t="str">
        <f>IF(D13="","",VLOOKUP(D13,'G-6 Hedgerow Data'!$B$1:$AH$15,33,FALSE))</f>
        <v>Like for like or better</v>
      </c>
      <c r="N13" s="512">
        <f t="shared" si="2"/>
        <v>6.2513999999999994</v>
      </c>
      <c r="O13" s="40"/>
      <c r="P13" s="154">
        <v>0.45300000000000001</v>
      </c>
      <c r="Q13" s="154">
        <v>0</v>
      </c>
      <c r="R13" s="531">
        <f t="shared" si="3"/>
        <v>6.2513999999999994</v>
      </c>
      <c r="S13" s="531">
        <f t="shared" si="4"/>
        <v>0</v>
      </c>
      <c r="T13" s="531">
        <f t="shared" si="5"/>
        <v>0</v>
      </c>
      <c r="U13" s="556">
        <f t="shared" si="6"/>
        <v>0</v>
      </c>
      <c r="V13" s="151"/>
      <c r="W13" s="152"/>
      <c r="AE13" s="156" t="b">
        <f t="shared" si="0"/>
        <v>1</v>
      </c>
      <c r="AF13" s="156" t="b">
        <f t="shared" si="1"/>
        <v>0</v>
      </c>
      <c r="AH13" s="156">
        <v>4</v>
      </c>
      <c r="AJ13" s="156">
        <f t="array" ref="AJ13">IFERROR(INDEX($AH$10:$AH$258, MATCH(0, IF(TRUE=$AE$10:$AE$258, COUNTIF($AJ$9:$AJ12, $AH$10:$AH$258), ""), 0)),"")</f>
        <v>8</v>
      </c>
      <c r="AK13" s="156">
        <f t="array" ref="AK13">IFERROR(INDEX($AH$10:$AH$258, MATCH(0, IF(TRUE=$AF$10:$AF$258, COUNTIF($AK$9:$AK12, $AH$10:$AH$258), ""), 0)),"")</f>
        <v>10</v>
      </c>
      <c r="AL13" s="31" t="str">
        <f>IFERROR(INDEX('G-6 Hedgerow Data'!$BJ$3:$BJ$15,MATCH(D13,'G-6 Hedgerow Data'!$B$3:$B$15,0)),"")</f>
        <v>Hedgecond1</v>
      </c>
    </row>
    <row r="14" spans="2:38" ht="28.5" x14ac:dyDescent="0.2">
      <c r="B14" s="141">
        <v>5</v>
      </c>
      <c r="C14" s="202"/>
      <c r="D14" s="195" t="s">
        <v>119</v>
      </c>
      <c r="E14" s="70">
        <v>0.16200000000000001</v>
      </c>
      <c r="F14" s="552" t="str">
        <f>IF(D14="","",VLOOKUP(D14,'G-6 Hedgerow Data'!$B$2:$AG$15,2,FALSE))</f>
        <v>Medium</v>
      </c>
      <c r="G14" s="498">
        <f>IF(D14="","",VLOOKUP(D14,'G-6 Hedgerow Data'!$B$2:$AG$15,3,FALSE))</f>
        <v>4</v>
      </c>
      <c r="H14" s="145" t="s">
        <v>26</v>
      </c>
      <c r="I14" s="498">
        <f>IFERROR(VLOOKUP(H14,'G-1 All Habitats'!$Z$2:$AA$9,2,FALSE),"")</f>
        <v>2</v>
      </c>
      <c r="J14" s="145" t="s">
        <v>231</v>
      </c>
      <c r="K14" s="506" t="str">
        <f>IF(J14="","",IF(VLOOKUP(J14,'G-3 Multipliers'!$L$3:$N$6,2,FALSE)=0,"Spatial Data Missing",VLOOKUP(J14,'G-3 Multipliers'!$L$3:$N$6,2,FALSE)))</f>
        <v xml:space="preserve">High strategic significance </v>
      </c>
      <c r="L14" s="504">
        <f>IF(J14="","",IF(VLOOKUP(J14,'G-3 Multipliers'!$L$3:$N$6,3,FALSE)=0,"Spatial Data Missing ⚠",VLOOKUP(J14,'G-3 Multipliers'!$L$3:$N$6,3,FALSE)))</f>
        <v>1.1499999999999999</v>
      </c>
      <c r="M14" s="505" t="str">
        <f>IF(D14="","",VLOOKUP(D14,'G-6 Hedgerow Data'!$B$1:$AH$15,33,FALSE))</f>
        <v>Like for like or better</v>
      </c>
      <c r="N14" s="512">
        <f t="shared" si="2"/>
        <v>1.4903999999999999</v>
      </c>
      <c r="O14" s="40"/>
      <c r="P14" s="154">
        <v>0</v>
      </c>
      <c r="Q14" s="154">
        <v>0.16200000000000001</v>
      </c>
      <c r="R14" s="531">
        <f t="shared" si="3"/>
        <v>0</v>
      </c>
      <c r="S14" s="531">
        <f t="shared" si="4"/>
        <v>1.4903999999999999</v>
      </c>
      <c r="T14" s="531">
        <f t="shared" si="5"/>
        <v>0</v>
      </c>
      <c r="U14" s="556">
        <f t="shared" si="6"/>
        <v>0</v>
      </c>
      <c r="V14" s="151"/>
      <c r="W14" s="152"/>
      <c r="AE14" s="156" t="b">
        <f t="shared" si="0"/>
        <v>0</v>
      </c>
      <c r="AF14" s="156" t="b">
        <f t="shared" si="1"/>
        <v>1</v>
      </c>
      <c r="AH14" s="156">
        <v>5</v>
      </c>
      <c r="AJ14" s="156">
        <f t="array" ref="AJ14">IFERROR(INDEX($AH$10:$AH$258, MATCH(0, IF(TRUE=$AE$10:$AE$258, COUNTIF($AJ$9:$AJ13, $AH$10:$AH$258), ""), 0)),"")</f>
        <v>12</v>
      </c>
      <c r="AK14" s="156">
        <f t="array" ref="AK14">IFERROR(INDEX($AH$10:$AH$258, MATCH(0, IF(TRUE=$AF$10:$AF$258, COUNTIF($AK$9:$AK13, $AH$10:$AH$258), ""), 0)),"")</f>
        <v>11</v>
      </c>
      <c r="AL14" s="31" t="str">
        <f>IFERROR(INDEX('G-6 Hedgerow Data'!$BJ$3:$BJ$15,MATCH(D14,'G-6 Hedgerow Data'!$B$3:$B$15,0)),"")</f>
        <v>Hedgecond1</v>
      </c>
    </row>
    <row r="15" spans="2:38" ht="42.75" x14ac:dyDescent="0.2">
      <c r="B15" s="141">
        <v>6</v>
      </c>
      <c r="C15" s="202"/>
      <c r="D15" s="195" t="s">
        <v>122</v>
      </c>
      <c r="E15" s="70">
        <v>0.14899999999999999</v>
      </c>
      <c r="F15" s="552" t="str">
        <f>IF(D15="","",VLOOKUP(D15,'G-6 Hedgerow Data'!$B$2:$AG$15,2,FALSE))</f>
        <v>Low</v>
      </c>
      <c r="G15" s="498">
        <f>IF(D15="","",VLOOKUP(D15,'G-6 Hedgerow Data'!$B$2:$AG$15,3,FALSE))</f>
        <v>2</v>
      </c>
      <c r="H15" s="145" t="s">
        <v>27</v>
      </c>
      <c r="I15" s="498">
        <f>IFERROR(VLOOKUP(H15,'G-1 All Habitats'!$Z$2:$AA$9,2,FALSE),"")</f>
        <v>3</v>
      </c>
      <c r="J15" s="145" t="s">
        <v>231</v>
      </c>
      <c r="K15" s="506" t="str">
        <f>IF(J15="","",IF(VLOOKUP(J15,'G-3 Multipliers'!$L$3:$N$6,2,FALSE)=0,"Spatial Data Missing",VLOOKUP(J15,'G-3 Multipliers'!$L$3:$N$6,2,FALSE)))</f>
        <v xml:space="preserve">High strategic significance </v>
      </c>
      <c r="L15" s="504">
        <f>IF(J15="","",IF(VLOOKUP(J15,'G-3 Multipliers'!$L$3:$N$6,3,FALSE)=0,"Spatial Data Missing ⚠",VLOOKUP(J15,'G-3 Multipliers'!$L$3:$N$6,3,FALSE)))</f>
        <v>1.1499999999999999</v>
      </c>
      <c r="M15" s="505" t="str">
        <f>IF(D15="","",VLOOKUP(D15,'G-6 Hedgerow Data'!$B$1:$AH$15,33,FALSE))</f>
        <v>Same distinctiveness band or better</v>
      </c>
      <c r="N15" s="512">
        <f t="shared" si="2"/>
        <v>1.0280999999999998</v>
      </c>
      <c r="O15" s="40"/>
      <c r="P15" s="154">
        <v>0.14899999999999999</v>
      </c>
      <c r="Q15" s="154">
        <v>0</v>
      </c>
      <c r="R15" s="531">
        <f t="shared" si="3"/>
        <v>1.0280999999999998</v>
      </c>
      <c r="S15" s="531">
        <f t="shared" si="4"/>
        <v>0</v>
      </c>
      <c r="T15" s="531">
        <f t="shared" si="5"/>
        <v>0</v>
      </c>
      <c r="U15" s="556">
        <f t="shared" si="6"/>
        <v>0</v>
      </c>
      <c r="V15" s="151"/>
      <c r="W15" s="152"/>
      <c r="AE15" s="156" t="b">
        <f t="shared" si="0"/>
        <v>1</v>
      </c>
      <c r="AF15" s="156" t="b">
        <f t="shared" si="1"/>
        <v>0</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Hedgecond1</v>
      </c>
    </row>
    <row r="16" spans="2:38" ht="42.75" x14ac:dyDescent="0.2">
      <c r="B16" s="141">
        <v>7</v>
      </c>
      <c r="C16" s="202"/>
      <c r="D16" s="195" t="s">
        <v>122</v>
      </c>
      <c r="E16" s="70">
        <v>0.80500000000000005</v>
      </c>
      <c r="F16" s="552" t="str">
        <f>IF(D16="","",VLOOKUP(D16,'G-6 Hedgerow Data'!$B$2:$AG$15,2,FALSE))</f>
        <v>Low</v>
      </c>
      <c r="G16" s="498">
        <f>IF(D16="","",VLOOKUP(D16,'G-6 Hedgerow Data'!$B$2:$AG$15,3,FALSE))</f>
        <v>2</v>
      </c>
      <c r="H16" s="145" t="s">
        <v>27</v>
      </c>
      <c r="I16" s="498">
        <f>IFERROR(VLOOKUP(H16,'G-1 All Habitats'!$Z$2:$AA$9,2,FALSE),"")</f>
        <v>3</v>
      </c>
      <c r="J16" s="145" t="s">
        <v>231</v>
      </c>
      <c r="K16" s="506" t="str">
        <f>IF(J16="","",IF(VLOOKUP(J16,'G-3 Multipliers'!$L$3:$N$6,2,FALSE)=0,"Spatial Data Missing",VLOOKUP(J16,'G-3 Multipliers'!$L$3:$N$6,2,FALSE)))</f>
        <v xml:space="preserve">High strategic significance </v>
      </c>
      <c r="L16" s="504">
        <f>IF(J16="","",IF(VLOOKUP(J16,'G-3 Multipliers'!$L$3:$N$6,3,FALSE)=0,"Spatial Data Missing ⚠",VLOOKUP(J16,'G-3 Multipliers'!$L$3:$N$6,3,FALSE)))</f>
        <v>1.1499999999999999</v>
      </c>
      <c r="M16" s="505" t="str">
        <f>IF(D16="","",VLOOKUP(D16,'G-6 Hedgerow Data'!$B$1:$AH$15,33,FALSE))</f>
        <v>Same distinctiveness band or better</v>
      </c>
      <c r="N16" s="512">
        <f t="shared" si="2"/>
        <v>5.5545</v>
      </c>
      <c r="O16" s="40"/>
      <c r="P16" s="154">
        <v>0</v>
      </c>
      <c r="Q16" s="154">
        <v>0.80500000000000005</v>
      </c>
      <c r="R16" s="531">
        <f t="shared" si="3"/>
        <v>0</v>
      </c>
      <c r="S16" s="531">
        <f t="shared" si="4"/>
        <v>5.5545</v>
      </c>
      <c r="T16" s="531">
        <f t="shared" si="5"/>
        <v>0</v>
      </c>
      <c r="U16" s="556">
        <f t="shared" si="6"/>
        <v>0</v>
      </c>
      <c r="V16" s="151"/>
      <c r="W16" s="152"/>
      <c r="AE16" s="156" t="b">
        <f t="shared" si="0"/>
        <v>0</v>
      </c>
      <c r="AF16" s="156" t="b">
        <f t="shared" si="1"/>
        <v>1</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Hedgecond1</v>
      </c>
    </row>
    <row r="17" spans="2:38" ht="42.75" x14ac:dyDescent="0.2">
      <c r="B17" s="141">
        <v>8</v>
      </c>
      <c r="C17" s="202"/>
      <c r="D17" s="195" t="s">
        <v>122</v>
      </c>
      <c r="E17" s="70">
        <v>0.23699999999999999</v>
      </c>
      <c r="F17" s="552" t="str">
        <f>IF(D17="","",VLOOKUP(D17,'G-6 Hedgerow Data'!$B$2:$AG$15,2,FALSE))</f>
        <v>Low</v>
      </c>
      <c r="G17" s="498">
        <f>IF(D17="","",VLOOKUP(D17,'G-6 Hedgerow Data'!$B$2:$AG$15,3,FALSE))</f>
        <v>2</v>
      </c>
      <c r="H17" s="145" t="s">
        <v>26</v>
      </c>
      <c r="I17" s="498">
        <f>IFERROR(VLOOKUP(H17,'G-1 All Habitats'!$Z$2:$AA$9,2,FALSE),"")</f>
        <v>2</v>
      </c>
      <c r="J17" s="145" t="s">
        <v>231</v>
      </c>
      <c r="K17" s="506" t="str">
        <f>IF(J17="","",IF(VLOOKUP(J17,'G-3 Multipliers'!$L$3:$N$6,2,FALSE)=0,"Spatial Data Missing",VLOOKUP(J17,'G-3 Multipliers'!$L$3:$N$6,2,FALSE)))</f>
        <v xml:space="preserve">High strategic significance </v>
      </c>
      <c r="L17" s="504">
        <f>IF(J17="","",IF(VLOOKUP(J17,'G-3 Multipliers'!$L$3:$N$6,3,FALSE)=0,"Spatial Data Missing ⚠",VLOOKUP(J17,'G-3 Multipliers'!$L$3:$N$6,3,FALSE)))</f>
        <v>1.1499999999999999</v>
      </c>
      <c r="M17" s="505" t="str">
        <f>IF(D17="","",VLOOKUP(D17,'G-6 Hedgerow Data'!$B$1:$AH$15,33,FALSE))</f>
        <v>Same distinctiveness band or better</v>
      </c>
      <c r="N17" s="512">
        <f t="shared" si="2"/>
        <v>1.0901999999999998</v>
      </c>
      <c r="O17" s="40"/>
      <c r="P17" s="154">
        <v>0.23699999999999999</v>
      </c>
      <c r="Q17" s="154">
        <v>0</v>
      </c>
      <c r="R17" s="531">
        <f t="shared" si="3"/>
        <v>1.0901999999999998</v>
      </c>
      <c r="S17" s="531">
        <f t="shared" si="4"/>
        <v>0</v>
      </c>
      <c r="T17" s="531">
        <f t="shared" si="5"/>
        <v>0</v>
      </c>
      <c r="U17" s="556">
        <f t="shared" si="6"/>
        <v>0</v>
      </c>
      <c r="V17" s="151"/>
      <c r="W17" s="152"/>
      <c r="AE17" s="156" t="b">
        <f t="shared" si="0"/>
        <v>1</v>
      </c>
      <c r="AF17" s="156" t="b">
        <f t="shared" si="1"/>
        <v>0</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Hedgecond1</v>
      </c>
    </row>
    <row r="18" spans="2:38" ht="42.75" x14ac:dyDescent="0.2">
      <c r="B18" s="141">
        <v>9</v>
      </c>
      <c r="C18" s="202"/>
      <c r="D18" s="195" t="s">
        <v>122</v>
      </c>
      <c r="E18" s="172">
        <v>0.53</v>
      </c>
      <c r="F18" s="552" t="str">
        <f>IF(D18="","",VLOOKUP(D18,'G-6 Hedgerow Data'!$B$2:$AG$15,2,FALSE))</f>
        <v>Low</v>
      </c>
      <c r="G18" s="498">
        <f>IF(D18="","",VLOOKUP(D18,'G-6 Hedgerow Data'!$B$2:$AG$15,3,FALSE))</f>
        <v>2</v>
      </c>
      <c r="H18" s="145" t="s">
        <v>26</v>
      </c>
      <c r="I18" s="498">
        <f>IFERROR(VLOOKUP(H18,'G-1 All Habitats'!$Z$2:$AA$9,2,FALSE),"")</f>
        <v>2</v>
      </c>
      <c r="J18" s="145" t="s">
        <v>231</v>
      </c>
      <c r="K18" s="506" t="str">
        <f>IF(J18="","",IF(VLOOKUP(J18,'G-3 Multipliers'!$L$3:$N$6,2,FALSE)=0,"Spatial Data Missing",VLOOKUP(J18,'G-3 Multipliers'!$L$3:$N$6,2,FALSE)))</f>
        <v xml:space="preserve">High strategic significance </v>
      </c>
      <c r="L18" s="504">
        <f>IF(J18="","",IF(VLOOKUP(J18,'G-3 Multipliers'!$L$3:$N$6,3,FALSE)=0,"Spatial Data Missing ⚠",VLOOKUP(J18,'G-3 Multipliers'!$L$3:$N$6,3,FALSE)))</f>
        <v>1.1499999999999999</v>
      </c>
      <c r="M18" s="505" t="str">
        <f>IF(D18="","",VLOOKUP(D18,'G-6 Hedgerow Data'!$B$1:$AH$15,33,FALSE))</f>
        <v>Same distinctiveness band or better</v>
      </c>
      <c r="N18" s="512">
        <f t="shared" si="2"/>
        <v>2.4379999999999997</v>
      </c>
      <c r="O18" s="40"/>
      <c r="P18" s="154">
        <v>0</v>
      </c>
      <c r="Q18" s="154">
        <v>0.53</v>
      </c>
      <c r="R18" s="531">
        <f t="shared" si="3"/>
        <v>0</v>
      </c>
      <c r="S18" s="531">
        <f t="shared" si="4"/>
        <v>2.4379999999999997</v>
      </c>
      <c r="T18" s="531">
        <f t="shared" si="5"/>
        <v>0</v>
      </c>
      <c r="U18" s="556">
        <f t="shared" si="6"/>
        <v>0</v>
      </c>
      <c r="V18" s="151"/>
      <c r="W18" s="152"/>
      <c r="AE18" s="156" t="b">
        <f t="shared" si="0"/>
        <v>0</v>
      </c>
      <c r="AF18" s="156" t="b">
        <f t="shared" si="1"/>
        <v>1</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Hedgecond1</v>
      </c>
    </row>
    <row r="19" spans="2:38" ht="42.75" x14ac:dyDescent="0.2">
      <c r="B19" s="141">
        <v>10</v>
      </c>
      <c r="C19" s="202"/>
      <c r="D19" s="195" t="s">
        <v>122</v>
      </c>
      <c r="E19" s="172">
        <v>1.4870000000000001</v>
      </c>
      <c r="F19" s="552" t="str">
        <f>IF(D19="","",VLOOKUP(D19,'G-6 Hedgerow Data'!$B$2:$AG$15,2,FALSE))</f>
        <v>Low</v>
      </c>
      <c r="G19" s="498">
        <f>IF(D19="","",VLOOKUP(D19,'G-6 Hedgerow Data'!$B$2:$AG$15,3,FALSE))</f>
        <v>2</v>
      </c>
      <c r="H19" s="145" t="s">
        <v>233</v>
      </c>
      <c r="I19" s="498">
        <f>IFERROR(VLOOKUP(H19,'G-1 All Habitats'!$Z$2:$AA$9,2,FALSE),"")</f>
        <v>1</v>
      </c>
      <c r="J19" s="145" t="s">
        <v>231</v>
      </c>
      <c r="K19" s="506" t="str">
        <f>IF(J19="","",IF(VLOOKUP(J19,'G-3 Multipliers'!$L$3:$N$6,2,FALSE)=0,"Spatial Data Missing",VLOOKUP(J19,'G-3 Multipliers'!$L$3:$N$6,2,FALSE)))</f>
        <v xml:space="preserve">High strategic significance </v>
      </c>
      <c r="L19" s="504">
        <f>IF(J19="","",IF(VLOOKUP(J19,'G-3 Multipliers'!$L$3:$N$6,3,FALSE)=0,"Spatial Data Missing ⚠",VLOOKUP(J19,'G-3 Multipliers'!$L$3:$N$6,3,FALSE)))</f>
        <v>1.1499999999999999</v>
      </c>
      <c r="M19" s="505" t="str">
        <f>IF(D19="","",VLOOKUP(D19,'G-6 Hedgerow Data'!$B$1:$AH$15,33,FALSE))</f>
        <v>Same distinctiveness band or better</v>
      </c>
      <c r="N19" s="512">
        <f t="shared" si="2"/>
        <v>3.4201000000000001</v>
      </c>
      <c r="O19" s="40"/>
      <c r="P19" s="154">
        <v>0</v>
      </c>
      <c r="Q19" s="154">
        <v>1.4870000000000001</v>
      </c>
      <c r="R19" s="531">
        <f t="shared" si="3"/>
        <v>0</v>
      </c>
      <c r="S19" s="531">
        <f t="shared" si="4"/>
        <v>3.4201000000000001</v>
      </c>
      <c r="T19" s="531">
        <f t="shared" si="5"/>
        <v>0</v>
      </c>
      <c r="U19" s="556">
        <f t="shared" si="6"/>
        <v>0</v>
      </c>
      <c r="V19" s="151"/>
      <c r="W19" s="152"/>
      <c r="AE19" s="156" t="b">
        <f t="shared" si="0"/>
        <v>0</v>
      </c>
      <c r="AF19" s="156" t="b">
        <f t="shared" si="1"/>
        <v>1</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Hedgecond1</v>
      </c>
    </row>
    <row r="20" spans="2:38" ht="42.75" x14ac:dyDescent="0.2">
      <c r="B20" s="141">
        <v>11</v>
      </c>
      <c r="C20" s="202"/>
      <c r="D20" s="195" t="s">
        <v>122</v>
      </c>
      <c r="E20" s="172">
        <v>0.747</v>
      </c>
      <c r="F20" s="552" t="str">
        <f>IF(D20="","",VLOOKUP(D20,'G-6 Hedgerow Data'!$B$2:$AG$15,2,FALSE))</f>
        <v>Low</v>
      </c>
      <c r="G20" s="498">
        <f>IF(D20="","",VLOOKUP(D20,'G-6 Hedgerow Data'!$B$2:$AG$15,3,FALSE))</f>
        <v>2</v>
      </c>
      <c r="H20" s="145" t="s">
        <v>233</v>
      </c>
      <c r="I20" s="498">
        <f>IFERROR(VLOOKUP(H20,'G-1 All Habitats'!$Z$2:$AA$9,2,FALSE),"")</f>
        <v>1</v>
      </c>
      <c r="J20" s="145" t="s">
        <v>231</v>
      </c>
      <c r="K20" s="506" t="str">
        <f>IF(J20="","",IF(VLOOKUP(J20,'G-3 Multipliers'!$L$3:$N$6,2,FALSE)=0,"Spatial Data Missing",VLOOKUP(J20,'G-3 Multipliers'!$L$3:$N$6,2,FALSE)))</f>
        <v xml:space="preserve">High strategic significance </v>
      </c>
      <c r="L20" s="504">
        <f>IF(J20="","",IF(VLOOKUP(J20,'G-3 Multipliers'!$L$3:$N$6,3,FALSE)=0,"Spatial Data Missing ⚠",VLOOKUP(J20,'G-3 Multipliers'!$L$3:$N$6,3,FALSE)))</f>
        <v>1.1499999999999999</v>
      </c>
      <c r="M20" s="505" t="str">
        <f>IF(D20="","",VLOOKUP(D20,'G-6 Hedgerow Data'!$B$1:$AH$15,33,FALSE))</f>
        <v>Same distinctiveness band or better</v>
      </c>
      <c r="N20" s="512">
        <f t="shared" si="2"/>
        <v>1.7181</v>
      </c>
      <c r="O20" s="40"/>
      <c r="P20" s="154">
        <v>0</v>
      </c>
      <c r="Q20" s="154">
        <v>0.747</v>
      </c>
      <c r="R20" s="531">
        <f t="shared" si="3"/>
        <v>0</v>
      </c>
      <c r="S20" s="531">
        <f t="shared" si="4"/>
        <v>1.7181</v>
      </c>
      <c r="T20" s="531">
        <f t="shared" si="5"/>
        <v>0</v>
      </c>
      <c r="U20" s="556">
        <f t="shared" si="6"/>
        <v>0</v>
      </c>
      <c r="V20" s="151"/>
      <c r="W20" s="152"/>
      <c r="AE20" s="156" t="b">
        <f t="shared" si="0"/>
        <v>0</v>
      </c>
      <c r="AF20" s="156" t="b">
        <f t="shared" si="1"/>
        <v>1</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Hedgecond1</v>
      </c>
    </row>
    <row r="21" spans="2:38" ht="28.5" x14ac:dyDescent="0.2">
      <c r="B21" s="141">
        <v>12</v>
      </c>
      <c r="C21" s="202"/>
      <c r="D21" s="195" t="s">
        <v>117</v>
      </c>
      <c r="E21" s="172">
        <v>0.12</v>
      </c>
      <c r="F21" s="552" t="str">
        <f>IF(D21="","",VLOOKUP(D21,'G-6 Hedgerow Data'!$B$2:$AG$15,2,FALSE))</f>
        <v>Medium</v>
      </c>
      <c r="G21" s="498">
        <f>IF(D21="","",VLOOKUP(D21,'G-6 Hedgerow Data'!$B$2:$AG$15,3,FALSE))</f>
        <v>4</v>
      </c>
      <c r="H21" s="145" t="s">
        <v>27</v>
      </c>
      <c r="I21" s="498">
        <f>IFERROR(VLOOKUP(H21,'G-1 All Habitats'!$Z$2:$AA$9,2,FALSE),"")</f>
        <v>3</v>
      </c>
      <c r="J21" s="145" t="s">
        <v>231</v>
      </c>
      <c r="K21" s="506" t="str">
        <f>IF(J21="","",IF(VLOOKUP(J21,'G-3 Multipliers'!$L$3:$N$6,2,FALSE)=0,"Spatial Data Missing",VLOOKUP(J21,'G-3 Multipliers'!$L$3:$N$6,2,FALSE)))</f>
        <v xml:space="preserve">High strategic significance </v>
      </c>
      <c r="L21" s="504">
        <f>IF(J21="","",IF(VLOOKUP(J21,'G-3 Multipliers'!$L$3:$N$6,3,FALSE)=0,"Spatial Data Missing ⚠",VLOOKUP(J21,'G-3 Multipliers'!$L$3:$N$6,3,FALSE)))</f>
        <v>1.1499999999999999</v>
      </c>
      <c r="M21" s="505" t="str">
        <f>IF(D21="","",VLOOKUP(D21,'G-6 Hedgerow Data'!$B$1:$AH$15,33,FALSE))</f>
        <v>Like for like or better</v>
      </c>
      <c r="N21" s="512">
        <f t="shared" si="2"/>
        <v>1.6559999999999999</v>
      </c>
      <c r="O21" s="40"/>
      <c r="P21" s="154">
        <v>0.12</v>
      </c>
      <c r="Q21" s="154">
        <v>0</v>
      </c>
      <c r="R21" s="531">
        <f t="shared" si="3"/>
        <v>1.6559999999999999</v>
      </c>
      <c r="S21" s="531">
        <f t="shared" si="4"/>
        <v>0</v>
      </c>
      <c r="T21" s="531">
        <f t="shared" si="5"/>
        <v>0</v>
      </c>
      <c r="U21" s="556">
        <f t="shared" si="6"/>
        <v>0</v>
      </c>
      <c r="V21" s="151"/>
      <c r="W21" s="152"/>
      <c r="AE21" s="156" t="b">
        <f t="shared" si="0"/>
        <v>1</v>
      </c>
      <c r="AF21" s="156" t="b">
        <f t="shared" si="1"/>
        <v>0</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Hedgecond1</v>
      </c>
    </row>
    <row r="22" spans="2:38" ht="14.25" x14ac:dyDescent="0.2">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25" x14ac:dyDescent="0.2">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25" x14ac:dyDescent="0.2">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25" x14ac:dyDescent="0.2">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25" x14ac:dyDescent="0.2">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25" x14ac:dyDescent="0.2">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25" x14ac:dyDescent="0.2">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25" x14ac:dyDescent="0.2">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25" x14ac:dyDescent="0.2">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25" x14ac:dyDescent="0.2">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25" x14ac:dyDescent="0.2">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25" x14ac:dyDescent="0.2">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25" x14ac:dyDescent="0.2">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25" x14ac:dyDescent="0.2">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25" x14ac:dyDescent="0.2">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25" x14ac:dyDescent="0.2">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25" x14ac:dyDescent="0.2">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25" x14ac:dyDescent="0.2">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25" x14ac:dyDescent="0.2">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25" x14ac:dyDescent="0.2">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25" x14ac:dyDescent="0.2">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25" x14ac:dyDescent="0.2">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25" x14ac:dyDescent="0.2">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25" x14ac:dyDescent="0.2">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25" x14ac:dyDescent="0.2">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25" x14ac:dyDescent="0.2">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25" x14ac:dyDescent="0.2">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25" x14ac:dyDescent="0.2">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25" x14ac:dyDescent="0.2">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25" x14ac:dyDescent="0.2">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25" x14ac:dyDescent="0.2">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25" x14ac:dyDescent="0.2">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25" x14ac:dyDescent="0.2">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25" x14ac:dyDescent="0.2">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25" x14ac:dyDescent="0.2">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25" x14ac:dyDescent="0.2">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25" x14ac:dyDescent="0.2">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25" x14ac:dyDescent="0.2">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25" x14ac:dyDescent="0.2">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25" x14ac:dyDescent="0.2">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25" x14ac:dyDescent="0.2">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25" x14ac:dyDescent="0.2">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25" x14ac:dyDescent="0.2">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25" x14ac:dyDescent="0.2">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25" x14ac:dyDescent="0.2">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25" x14ac:dyDescent="0.2">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25" x14ac:dyDescent="0.2">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25" x14ac:dyDescent="0.2">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25" x14ac:dyDescent="0.2">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25" x14ac:dyDescent="0.2">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25" x14ac:dyDescent="0.2">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25" x14ac:dyDescent="0.2">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25" x14ac:dyDescent="0.2">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25" x14ac:dyDescent="0.2">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25" x14ac:dyDescent="0.2">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25" x14ac:dyDescent="0.2">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25" x14ac:dyDescent="0.2">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25" x14ac:dyDescent="0.2">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25" x14ac:dyDescent="0.2">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25" x14ac:dyDescent="0.2">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25" x14ac:dyDescent="0.2">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25" x14ac:dyDescent="0.2">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25" x14ac:dyDescent="0.2">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25" x14ac:dyDescent="0.2">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25" x14ac:dyDescent="0.2">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25" x14ac:dyDescent="0.2">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25" x14ac:dyDescent="0.2">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25" x14ac:dyDescent="0.2">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25" x14ac:dyDescent="0.2">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25" x14ac:dyDescent="0.2">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25" x14ac:dyDescent="0.2">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25" x14ac:dyDescent="0.2">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25" x14ac:dyDescent="0.2">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25" x14ac:dyDescent="0.2">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25" x14ac:dyDescent="0.2">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25" x14ac:dyDescent="0.2">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25" x14ac:dyDescent="0.2">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25" x14ac:dyDescent="0.2">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25" x14ac:dyDescent="0.2">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25" x14ac:dyDescent="0.2">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25" x14ac:dyDescent="0.2">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25" x14ac:dyDescent="0.2">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25" x14ac:dyDescent="0.2">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25" x14ac:dyDescent="0.2">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25" x14ac:dyDescent="0.2">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25" x14ac:dyDescent="0.2">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25" x14ac:dyDescent="0.2">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25" x14ac:dyDescent="0.2">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25" x14ac:dyDescent="0.2">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25" x14ac:dyDescent="0.2">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25" x14ac:dyDescent="0.2">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25" x14ac:dyDescent="0.2">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25" x14ac:dyDescent="0.2">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25" x14ac:dyDescent="0.2">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25" x14ac:dyDescent="0.2">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25" x14ac:dyDescent="0.2">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25" x14ac:dyDescent="0.2">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25" x14ac:dyDescent="0.2">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25" x14ac:dyDescent="0.2">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25" x14ac:dyDescent="0.2">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25" x14ac:dyDescent="0.2">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25" x14ac:dyDescent="0.2">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25" x14ac:dyDescent="0.2">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25" x14ac:dyDescent="0.2">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25" x14ac:dyDescent="0.2">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25" x14ac:dyDescent="0.2">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25" x14ac:dyDescent="0.2">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25" x14ac:dyDescent="0.2">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25" x14ac:dyDescent="0.2">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25" x14ac:dyDescent="0.2">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25" x14ac:dyDescent="0.2">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25" x14ac:dyDescent="0.2">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25" x14ac:dyDescent="0.2">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25" x14ac:dyDescent="0.2">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25" x14ac:dyDescent="0.2">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25" x14ac:dyDescent="0.2">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25" x14ac:dyDescent="0.2">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25" x14ac:dyDescent="0.2">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25" x14ac:dyDescent="0.2">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25" x14ac:dyDescent="0.2">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25" x14ac:dyDescent="0.2">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25" x14ac:dyDescent="0.2">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25" x14ac:dyDescent="0.2">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25" x14ac:dyDescent="0.2">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25" x14ac:dyDescent="0.2">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25" x14ac:dyDescent="0.2">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25" x14ac:dyDescent="0.2">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25" x14ac:dyDescent="0.2">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25" x14ac:dyDescent="0.2">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25" x14ac:dyDescent="0.2">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25" x14ac:dyDescent="0.2">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25" x14ac:dyDescent="0.2">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25" x14ac:dyDescent="0.2">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25" x14ac:dyDescent="0.2">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25" x14ac:dyDescent="0.2">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25" x14ac:dyDescent="0.2">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25" x14ac:dyDescent="0.2">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25" x14ac:dyDescent="0.2">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25" x14ac:dyDescent="0.2">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25" x14ac:dyDescent="0.2">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25" x14ac:dyDescent="0.2">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25" x14ac:dyDescent="0.2">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25" x14ac:dyDescent="0.2">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25" x14ac:dyDescent="0.2">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25" x14ac:dyDescent="0.2">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25" x14ac:dyDescent="0.2">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25" x14ac:dyDescent="0.2">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25" x14ac:dyDescent="0.2">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25" x14ac:dyDescent="0.2">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25" x14ac:dyDescent="0.2">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25" x14ac:dyDescent="0.2">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25" x14ac:dyDescent="0.2">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25" x14ac:dyDescent="0.2">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25" x14ac:dyDescent="0.2">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25" x14ac:dyDescent="0.2">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25" x14ac:dyDescent="0.2">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25" x14ac:dyDescent="0.2">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25" x14ac:dyDescent="0.2">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25" x14ac:dyDescent="0.2">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25" x14ac:dyDescent="0.2">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25" x14ac:dyDescent="0.2">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25" x14ac:dyDescent="0.2">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25" x14ac:dyDescent="0.2">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25" x14ac:dyDescent="0.2">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25" x14ac:dyDescent="0.2">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25" x14ac:dyDescent="0.2">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25" x14ac:dyDescent="0.2">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25" x14ac:dyDescent="0.2">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25" x14ac:dyDescent="0.2">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25" x14ac:dyDescent="0.2">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25" x14ac:dyDescent="0.2">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25" x14ac:dyDescent="0.2">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25" x14ac:dyDescent="0.2">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25" x14ac:dyDescent="0.2">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25" x14ac:dyDescent="0.2">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25" x14ac:dyDescent="0.2">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25" x14ac:dyDescent="0.2">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25" x14ac:dyDescent="0.2">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25" x14ac:dyDescent="0.2">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25" x14ac:dyDescent="0.2">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25" x14ac:dyDescent="0.2">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25" x14ac:dyDescent="0.2">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25" x14ac:dyDescent="0.2">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25" x14ac:dyDescent="0.2">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25" x14ac:dyDescent="0.2">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25" x14ac:dyDescent="0.2">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25" x14ac:dyDescent="0.2">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25" x14ac:dyDescent="0.2">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25" x14ac:dyDescent="0.2">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25" x14ac:dyDescent="0.2">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25" x14ac:dyDescent="0.2">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25" x14ac:dyDescent="0.2">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25" x14ac:dyDescent="0.2">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25" x14ac:dyDescent="0.2">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25" x14ac:dyDescent="0.2">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25" x14ac:dyDescent="0.2">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25" x14ac:dyDescent="0.2">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25" x14ac:dyDescent="0.2">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25" x14ac:dyDescent="0.2">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25" x14ac:dyDescent="0.2">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25" x14ac:dyDescent="0.2">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25" x14ac:dyDescent="0.2">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25" x14ac:dyDescent="0.2">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25" x14ac:dyDescent="0.2">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25" x14ac:dyDescent="0.2">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25" x14ac:dyDescent="0.2">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25" x14ac:dyDescent="0.2">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25" x14ac:dyDescent="0.2">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25" x14ac:dyDescent="0.2">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25" x14ac:dyDescent="0.2">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25" x14ac:dyDescent="0.2">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25" x14ac:dyDescent="0.2">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25" x14ac:dyDescent="0.2">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25" x14ac:dyDescent="0.2">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25" x14ac:dyDescent="0.2">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25" x14ac:dyDescent="0.2">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25" x14ac:dyDescent="0.2">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25" x14ac:dyDescent="0.2">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25" x14ac:dyDescent="0.2">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25" x14ac:dyDescent="0.2">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25" x14ac:dyDescent="0.2">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25" x14ac:dyDescent="0.2">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25" x14ac:dyDescent="0.2">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25" x14ac:dyDescent="0.2">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25" x14ac:dyDescent="0.2">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25" x14ac:dyDescent="0.2">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25" x14ac:dyDescent="0.2">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25" x14ac:dyDescent="0.2">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25" x14ac:dyDescent="0.2">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25" x14ac:dyDescent="0.2">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25" x14ac:dyDescent="0.2">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25" x14ac:dyDescent="0.2">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25" x14ac:dyDescent="0.2">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25" x14ac:dyDescent="0.2">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25" x14ac:dyDescent="0.2">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 thickBot="1" x14ac:dyDescent="0.25">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 thickBot="1" x14ac:dyDescent="0.25">
      <c r="D258" s="442"/>
      <c r="E258" s="553">
        <f>SUM(E10:E257)</f>
        <v>5.32</v>
      </c>
      <c r="M258" s="442"/>
      <c r="N258" s="555">
        <f>SUM(N10:N257)</f>
        <v>26.746699999999997</v>
      </c>
      <c r="O258" s="166"/>
      <c r="P258" s="516">
        <f t="shared" ref="P258:U258" si="28">SUM(P10:P257)</f>
        <v>1.0110000000000001</v>
      </c>
      <c r="Q258" s="517">
        <f t="shared" si="28"/>
        <v>3.7309999999999999</v>
      </c>
      <c r="R258" s="517">
        <f t="shared" si="28"/>
        <v>10.384499999999999</v>
      </c>
      <c r="S258" s="517">
        <f t="shared" si="28"/>
        <v>14.6211</v>
      </c>
      <c r="T258" s="517">
        <f t="shared" si="28"/>
        <v>0.57800000000000007</v>
      </c>
      <c r="U258" s="513">
        <f t="shared" si="28"/>
        <v>1.7410999999999999</v>
      </c>
    </row>
    <row r="259" spans="2:38" ht="14.25" x14ac:dyDescent="0.2">
      <c r="O259" s="166"/>
      <c r="P259" s="166"/>
      <c r="Q259" s="166"/>
      <c r="R259" s="166"/>
      <c r="S259" s="166"/>
      <c r="T259" s="166"/>
      <c r="U259" s="166"/>
    </row>
    <row r="260" spans="2:38" ht="14.25" x14ac:dyDescent="0.2">
      <c r="B260" s="132"/>
      <c r="C260" s="132"/>
    </row>
    <row r="261" spans="2:38" ht="14.25" x14ac:dyDescent="0.2">
      <c r="B261" s="132"/>
      <c r="C261" s="132"/>
    </row>
    <row r="262" spans="2:38" ht="14.25" x14ac:dyDescent="0.2">
      <c r="B262" s="132"/>
      <c r="C262" s="132"/>
    </row>
    <row r="263" spans="2:38" ht="14.25" x14ac:dyDescent="0.2">
      <c r="B263" s="132"/>
      <c r="C263" s="132"/>
    </row>
    <row r="264" spans="2:38" ht="14.25" x14ac:dyDescent="0.2">
      <c r="B264" s="132"/>
      <c r="C264" s="132"/>
    </row>
  </sheetData>
  <sheetProtection algorithmName="SHA-512" hashValue="Py4RFrUw07WcxfP9oeQ9ay6lqGcb+eBHARw/3LTUUTV4xCAPS6+yFUicCRzk+tWDwY/tKqv8TusXqUDfX423Pw==" saltValue="vpeeRUSj+Xf1yJZkY46ml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60" zoomScaleNormal="60" workbookViewId="0">
      <pane ySplit="11" topLeftCell="A12" activePane="bottomLeft" state="frozen"/>
      <selection activeCell="S28" sqref="S28"/>
      <selection pane="bottomLeft" activeCell="O12" sqref="O12:O13"/>
    </sheetView>
  </sheetViews>
  <sheetFormatPr defaultColWidth="0" defaultRowHeight="0" customHeight="1" zeroHeight="1" x14ac:dyDescent="0.2"/>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x14ac:dyDescent="0.25"/>
    <row r="2" spans="2:33" ht="21.6" customHeight="1" thickBot="1" x14ac:dyDescent="0.25">
      <c r="B2" s="832" t="str">
        <f>IF([1]Start!F12="","",[1]Start!F12)</f>
        <v/>
      </c>
      <c r="C2" s="833"/>
      <c r="D2" s="834"/>
    </row>
    <row r="3" spans="2:33" ht="15" customHeight="1" x14ac:dyDescent="0.2">
      <c r="B3" s="940" t="str">
        <f ca="1">MID(CELL("filename",A1),FIND("]",CELL("filename",A1))+1,256)</f>
        <v>B-2 Site Hedge Creation</v>
      </c>
      <c r="C3" s="941"/>
      <c r="D3" s="942"/>
      <c r="M3" s="908" t="str">
        <f>IF(OR(COUNTIF($M$12:M259,"*30+*")&gt;0,COUNTIF($Q$12:Q259,"*30+*")&gt;0),"Note; Habitat selected has a time to target condition greater than 30 years. Non standard agreement may be required. ⚠","")</f>
        <v/>
      </c>
      <c r="N3" s="908"/>
      <c r="O3" s="908"/>
      <c r="P3" s="908"/>
      <c r="Q3" s="908"/>
      <c r="R3" s="908"/>
    </row>
    <row r="4" spans="2:33" ht="15.75" customHeight="1" thickBot="1" x14ac:dyDescent="0.25">
      <c r="B4" s="943"/>
      <c r="C4" s="944"/>
      <c r="D4" s="945"/>
      <c r="M4" s="908"/>
      <c r="N4" s="908"/>
      <c r="O4" s="908"/>
      <c r="P4" s="908"/>
      <c r="Q4" s="908"/>
      <c r="R4" s="908"/>
    </row>
    <row r="5" spans="2:33" ht="15.75" customHeight="1" x14ac:dyDescent="0.2">
      <c r="M5" s="908"/>
      <c r="N5" s="908"/>
      <c r="O5" s="908"/>
      <c r="P5" s="908"/>
      <c r="Q5" s="908"/>
      <c r="R5" s="908"/>
    </row>
    <row r="6" spans="2:33" ht="15.75" customHeight="1" x14ac:dyDescent="0.2">
      <c r="M6" s="402"/>
      <c r="N6" s="402"/>
      <c r="O6" s="402"/>
      <c r="P6" s="402"/>
      <c r="Q6" s="402"/>
    </row>
    <row r="7" spans="2:33" ht="15.75" customHeight="1" x14ac:dyDescent="0.2">
      <c r="B7" s="132"/>
      <c r="C7" s="132"/>
      <c r="M7" s="402"/>
      <c r="N7" s="402"/>
      <c r="O7" s="402"/>
      <c r="P7" s="402"/>
      <c r="Q7" s="402"/>
    </row>
    <row r="8" spans="2:33" ht="14.25" x14ac:dyDescent="0.2"/>
    <row r="9" spans="2:33" ht="19.899999999999999" customHeight="1" thickBot="1" x14ac:dyDescent="0.25"/>
    <row r="10" spans="2:33" ht="31.5" customHeight="1" thickBot="1" x14ac:dyDescent="0.25">
      <c r="B10" s="132"/>
      <c r="C10" s="132"/>
      <c r="D10" s="966" t="s">
        <v>326</v>
      </c>
      <c r="E10" s="968"/>
      <c r="F10" s="966" t="s">
        <v>297</v>
      </c>
      <c r="G10" s="968"/>
      <c r="H10" s="966" t="s">
        <v>298</v>
      </c>
      <c r="I10" s="968"/>
      <c r="J10" s="966" t="s">
        <v>197</v>
      </c>
      <c r="K10" s="967"/>
      <c r="L10" s="968"/>
      <c r="M10" s="966" t="s">
        <v>252</v>
      </c>
      <c r="N10" s="967"/>
      <c r="O10" s="967"/>
      <c r="P10" s="967"/>
      <c r="Q10" s="967"/>
      <c r="R10" s="968"/>
      <c r="S10" s="966" t="s">
        <v>276</v>
      </c>
      <c r="T10" s="967"/>
      <c r="U10" s="967"/>
      <c r="V10" s="968"/>
      <c r="W10" s="969" t="s">
        <v>327</v>
      </c>
      <c r="X10" s="957" t="s">
        <v>202</v>
      </c>
      <c r="Y10" s="958"/>
    </row>
    <row r="11" spans="2:33" ht="57" x14ac:dyDescent="0.2">
      <c r="B11" s="135" t="s">
        <v>278</v>
      </c>
      <c r="C11" s="136" t="s">
        <v>328</v>
      </c>
      <c r="D11" s="200" t="s">
        <v>300</v>
      </c>
      <c r="E11" s="358" t="s">
        <v>319</v>
      </c>
      <c r="F11" s="303" t="s">
        <v>195</v>
      </c>
      <c r="G11" s="201" t="s">
        <v>212</v>
      </c>
      <c r="H11" s="367" t="s">
        <v>196</v>
      </c>
      <c r="I11" s="201" t="s">
        <v>212</v>
      </c>
      <c r="J11" s="367" t="s">
        <v>197</v>
      </c>
      <c r="K11" s="200" t="s">
        <v>197</v>
      </c>
      <c r="L11" s="201" t="s">
        <v>255</v>
      </c>
      <c r="M11" s="367" t="s">
        <v>329</v>
      </c>
      <c r="N11" s="200" t="s">
        <v>257</v>
      </c>
      <c r="O11" s="200" t="s">
        <v>258</v>
      </c>
      <c r="P11" s="200" t="s">
        <v>259</v>
      </c>
      <c r="Q11" s="200" t="s">
        <v>260</v>
      </c>
      <c r="R11" s="201" t="s">
        <v>261</v>
      </c>
      <c r="S11" s="367" t="s">
        <v>262</v>
      </c>
      <c r="T11" s="200" t="s">
        <v>330</v>
      </c>
      <c r="U11" s="200" t="s">
        <v>264</v>
      </c>
      <c r="V11" s="201" t="s">
        <v>265</v>
      </c>
      <c r="W11" s="981"/>
      <c r="X11" s="141" t="s">
        <v>221</v>
      </c>
      <c r="Y11" s="358" t="s">
        <v>222</v>
      </c>
      <c r="AG11" s="131" t="s">
        <v>206</v>
      </c>
    </row>
    <row r="12" spans="2:33" ht="28.5" x14ac:dyDescent="0.2">
      <c r="B12" s="367">
        <v>1</v>
      </c>
      <c r="C12" s="203"/>
      <c r="D12" s="82" t="s">
        <v>114</v>
      </c>
      <c r="E12" s="70">
        <v>0.80600000000000005</v>
      </c>
      <c r="F12" s="552" t="str">
        <f>IF(D12="","",VLOOKUP(D12,'G-6 Hedgerow Data'!$B$2:$AG$15,2,FALSE))</f>
        <v>High</v>
      </c>
      <c r="G12" s="498">
        <f>IF(D12="","",VLOOKUP(D12,'G-6 Hedgerow Data'!$B$2:$AG$15,3,FALSE))</f>
        <v>6</v>
      </c>
      <c r="H12" s="145" t="s">
        <v>27</v>
      </c>
      <c r="I12" s="498">
        <f>IFERROR(VLOOKUP(H12,'G-1 All Habitats'!$Z$2:$AA$9,2,FALSE),"")</f>
        <v>3</v>
      </c>
      <c r="J12" s="145" t="s">
        <v>231</v>
      </c>
      <c r="K12" s="506" t="str">
        <f>IF(J12="","",IF(VLOOKUP(J12,'G-3 Multipliers'!$L$3:$N$6,2,FALSE)=0,"Spatial Data Missing ⚠",VLOOKUP(J12,'G-3 Multipliers'!$L$3:$N$6,2,FALSE)))</f>
        <v xml:space="preserve">High strategic significance </v>
      </c>
      <c r="L12" s="504">
        <f>IF(J12="","",IF(VLOOKUP(J12,'G-3 Multipliers'!$L$3:$N$6,3,FALSE)=0,"Spatial Data Missing ⚠",VLOOKUP(J12,'G-3 Multipliers'!$L$3:$N$6,3,FALSE)))</f>
        <v>1.1499999999999999</v>
      </c>
      <c r="M12" s="497">
        <f>IF(OR(D12="",H12=""),"",(INDEX('G-6 Hedgerow Data'!$E$3:$I$15,MATCH(D12,'G-6 Hedgerow Data'!$B$3:$B$15,0),MATCH(H12,'G-6 Hedgerow Data'!$E$2:$I$2,0))))</f>
        <v>20</v>
      </c>
      <c r="N12" s="195">
        <v>0</v>
      </c>
      <c r="O12" s="195">
        <v>0</v>
      </c>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520">
        <f>IF(M12="","",IF(LEFT(P12,5)="Error ▲","Check Data ⚠",IF(OR(N12="30+",N12="Habitat already in target condition"),0,IF(O12="30+","30+",IF(AND(M12="30+",OR(N12="",N12=0)),"30+",IF(AND(M12="30+",N12&gt;0),32-N12,IF(M12+O12&gt;30,"30+",IF(M12+O12-N12&gt;0,M12+O12-N12,IF(M12-N12&lt;0,0,M12+O12-N12)))))))))</f>
        <v>20</v>
      </c>
      <c r="R12" s="521">
        <f>IF(M12="","",IF(LEFT(P12,5)="Error ▲","Check Data ⚠",VLOOKUP(Q12,TemporalMultipliers,3,FALSE)))</f>
        <v>0.49039526350000001</v>
      </c>
      <c r="S12" s="497" t="str">
        <f>IF(D12="","",VLOOKUP(D12,'G-6 Hedgerow Data'!$B$3:$AG$15,31,FALSE))</f>
        <v>Low</v>
      </c>
      <c r="T12" s="506" t="str">
        <f>IF(D12="","",IF(Q12="Check Data ⚠","Check Data ⚠",IF(H12="","",IF($P12="Check details - Is there evidence that habitat has reached target condition? ⚠","Low Difficulty - only applicable if all habitat created before losses ⚠","Standard difficulty applied"))))</f>
        <v>Standard difficulty applied</v>
      </c>
      <c r="U12" s="506" t="str">
        <f>(IF(AND(T12="Standard difficulty applied",M12&gt;N12),S12,IF(AND(T12="Low Difficulty - only applicable if all habitat created before losses ⚠",Q12&lt;=0),"Low",S12)))</f>
        <v>Low</v>
      </c>
      <c r="V12" s="498">
        <f>IF(D12="","",VLOOKUP(S12,'G-3 Multipliers'!$P$3:$Q$6,2,FALSE))</f>
        <v>1</v>
      </c>
      <c r="W12" s="528">
        <f>IFERROR(E12*G12*I12*L12*R12*V12,"")</f>
        <v>8.1818526552867006</v>
      </c>
      <c r="X12" s="149"/>
      <c r="Y12" s="150"/>
      <c r="AG12" s="31" t="str">
        <f>IFERROR(INDEX('G-6 Hedgerow Data'!$BJ$3:$BJ$15,MATCH(D12,'G-6 Hedgerow Data'!$B$3:$B$15,0)),"")</f>
        <v>Hedgecond1</v>
      </c>
    </row>
    <row r="13" spans="2:33" ht="28.5" x14ac:dyDescent="0.2">
      <c r="B13" s="141">
        <v>2</v>
      </c>
      <c r="C13" s="203"/>
      <c r="D13" s="82" t="s">
        <v>117</v>
      </c>
      <c r="E13" s="70">
        <v>0.125</v>
      </c>
      <c r="F13" s="552" t="str">
        <f>IF(D13="","",VLOOKUP(D13,'G-6 Hedgerow Data'!$B$2:$AG$15,2,FALSE))</f>
        <v>Medium</v>
      </c>
      <c r="G13" s="498">
        <f>IF(D13="","",VLOOKUP(D13,'G-6 Hedgerow Data'!$B$2:$AG$15,3,FALSE))</f>
        <v>4</v>
      </c>
      <c r="H13" s="145" t="s">
        <v>27</v>
      </c>
      <c r="I13" s="498">
        <f>IFERROR(VLOOKUP(H13,'G-1 All Habitats'!$Z$2:$AA$9,2,FALSE),"")</f>
        <v>3</v>
      </c>
      <c r="J13" s="145" t="s">
        <v>231</v>
      </c>
      <c r="K13" s="519" t="str">
        <f>IF(J13="","",IF(VLOOKUP(J13,'G-3 Multipliers'!$L$3:$N$6,2,FALSE)=0,"Spatial Data Missing ⚠",VLOOKUP(J13,'G-3 Multipliers'!$L$3:$N$6,2,FALSE)))</f>
        <v xml:space="preserve">High strategic significance </v>
      </c>
      <c r="L13" s="504">
        <f>IF(J13="","",IF(VLOOKUP(J13,'G-3 Multipliers'!$L$3:$N$6,3,FALSE)=0,"Spatial Data Missing ⚠",VLOOKUP(J13,'G-3 Multipliers'!$L$3:$N$6,3,FALSE)))</f>
        <v>1.1499999999999999</v>
      </c>
      <c r="M13" s="497">
        <f>IF(OR(D13="",H13=""),"",(INDEX('G-6 Hedgerow Data'!$E$3:$I$15,MATCH(D13,'G-6 Hedgerow Data'!$B$3:$B$15,0),MATCH(H13,'G-6 Hedgerow Data'!$E$2:$I$2,0))))</f>
        <v>12</v>
      </c>
      <c r="N13" s="195">
        <v>0</v>
      </c>
      <c r="O13" s="195">
        <v>0</v>
      </c>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Standard time to target condition applied</v>
      </c>
      <c r="Q13" s="520">
        <f t="shared" ref="Q13:Q76" si="1">IF(M13="","",IF(LEFT(P13,5)="Error ▲","Check Data ⚠",IF(OR(N13="30+",N13="Habitat already in target condition"),0,IF(O13="30+","30+",IF(AND(M13="30+",OR(N13="",N13=0)),"30+",IF(AND(M13="30+",N13&gt;0),32-N13,IF(M13+O13&gt;30,"30+",IF(M13+O13-N13&gt;0,M13+O13-N13,IF(M13-N13&lt;0,0,M13+O13-N13)))))))))</f>
        <v>12</v>
      </c>
      <c r="R13" s="521">
        <f t="shared" ref="R13:R75" si="2">IF(M13="","",IF(LEFT(P13,5)="Error ▲","Check Data ⚠",VLOOKUP(Q13,TemporalMultipliers,3,FALSE)))</f>
        <v>0.65212036070000001</v>
      </c>
      <c r="S13" s="536" t="str">
        <f>IF(D13="","",VLOOKUP(D13,'G-6 Hedgerow Data'!$B$3:$AG$15,31,FALSE))</f>
        <v>Low</v>
      </c>
      <c r="T13" s="506"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506" t="str">
        <f t="shared" ref="U13:U76" si="4">(IF(AND(T13="Standard difficulty applied",M13&gt;N13),S13,IF(AND(T13="Low Difficulty - only applicable if all habitat created before losses ⚠",Q13&lt;=0),"Low",S13)))</f>
        <v>Low</v>
      </c>
      <c r="V13" s="523">
        <f>IF(D13="","",VLOOKUP(S13,'G-3 Multipliers'!$P$3:$Q$6,2,FALSE))</f>
        <v>1</v>
      </c>
      <c r="W13" s="528">
        <f t="shared" ref="W13:W76" si="5">IFERROR(E13*G13*I13*L13*R13*V13,"")</f>
        <v>1.1249076222074998</v>
      </c>
      <c r="X13" s="149"/>
      <c r="Y13" s="150"/>
      <c r="AG13" s="31" t="str">
        <f>IFERROR(INDEX('G-6 Hedgerow Data'!$BJ$3:$BJ$15,MATCH(D13,'G-6 Hedgerow Data'!$B$3:$B$15,0)),"")</f>
        <v>Hedgecond1</v>
      </c>
    </row>
    <row r="14" spans="2:33" ht="14.25" x14ac:dyDescent="0.2">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4.25" x14ac:dyDescent="0.2">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4.25" x14ac:dyDescent="0.2">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4.25" x14ac:dyDescent="0.2">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4.25" x14ac:dyDescent="0.2">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4.25" x14ac:dyDescent="0.2">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4.25" x14ac:dyDescent="0.2">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4.25" x14ac:dyDescent="0.2">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4.25" x14ac:dyDescent="0.2">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4.25" x14ac:dyDescent="0.2">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4.25" x14ac:dyDescent="0.2">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4.25" x14ac:dyDescent="0.2">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4.25" x14ac:dyDescent="0.2">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4.25" x14ac:dyDescent="0.2">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4.25" x14ac:dyDescent="0.2">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4.25" x14ac:dyDescent="0.2">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4.25" x14ac:dyDescent="0.2">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4.25" x14ac:dyDescent="0.2">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4.25" x14ac:dyDescent="0.2">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4.25" x14ac:dyDescent="0.2">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4.25" x14ac:dyDescent="0.2">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4.25" x14ac:dyDescent="0.2">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4.25" x14ac:dyDescent="0.2">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4.25" x14ac:dyDescent="0.2">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4.25" x14ac:dyDescent="0.2">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4.25" x14ac:dyDescent="0.2">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4.25" x14ac:dyDescent="0.2">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4.25" x14ac:dyDescent="0.2">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4.25" x14ac:dyDescent="0.2">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4.25" x14ac:dyDescent="0.2">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4.25" x14ac:dyDescent="0.2">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4.25" x14ac:dyDescent="0.2">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4.25" x14ac:dyDescent="0.2">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4.25" x14ac:dyDescent="0.2">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4.25" x14ac:dyDescent="0.2">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4.25" x14ac:dyDescent="0.2">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4.25" x14ac:dyDescent="0.2">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4.25" x14ac:dyDescent="0.2">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4.25" x14ac:dyDescent="0.2">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4.25" x14ac:dyDescent="0.2">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4.25" x14ac:dyDescent="0.2">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4.25" x14ac:dyDescent="0.2">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4.25" x14ac:dyDescent="0.2">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4.25" x14ac:dyDescent="0.2">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4.25" x14ac:dyDescent="0.2">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4.25" x14ac:dyDescent="0.2">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4.25" x14ac:dyDescent="0.2">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4.25" x14ac:dyDescent="0.2">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4.25" x14ac:dyDescent="0.2">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4.25" x14ac:dyDescent="0.2">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4.25" x14ac:dyDescent="0.2">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4.25" x14ac:dyDescent="0.2">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4.25" x14ac:dyDescent="0.2">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4.25" x14ac:dyDescent="0.2">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4.25" x14ac:dyDescent="0.2">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4.25" x14ac:dyDescent="0.2">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4.25" x14ac:dyDescent="0.2">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4.25" x14ac:dyDescent="0.2">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4.25" x14ac:dyDescent="0.2">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4.25" x14ac:dyDescent="0.2">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4.25" x14ac:dyDescent="0.2">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4.25" x14ac:dyDescent="0.2">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4.25" x14ac:dyDescent="0.2">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4.25" x14ac:dyDescent="0.2">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4.25" x14ac:dyDescent="0.2">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4.25" x14ac:dyDescent="0.2">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4.25" x14ac:dyDescent="0.2">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4.25" x14ac:dyDescent="0.2">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4.25" x14ac:dyDescent="0.2">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4.25" x14ac:dyDescent="0.2">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4.25" x14ac:dyDescent="0.2">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4.25" x14ac:dyDescent="0.2">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4.25" x14ac:dyDescent="0.2">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4.25" x14ac:dyDescent="0.2">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4.25" x14ac:dyDescent="0.2">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4.25" x14ac:dyDescent="0.2">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4.25" x14ac:dyDescent="0.2">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4.25" x14ac:dyDescent="0.2">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4.25" x14ac:dyDescent="0.2">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4.25" x14ac:dyDescent="0.2">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4.25" x14ac:dyDescent="0.2">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4.25" x14ac:dyDescent="0.2">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4.25" x14ac:dyDescent="0.2">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4.25" x14ac:dyDescent="0.2">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4.25" x14ac:dyDescent="0.2">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4.25" x14ac:dyDescent="0.2">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4.25" x14ac:dyDescent="0.2">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4.25" x14ac:dyDescent="0.2">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4.25" x14ac:dyDescent="0.2">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4.25" x14ac:dyDescent="0.2">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4.25" x14ac:dyDescent="0.2">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4.25" x14ac:dyDescent="0.2">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4.25" x14ac:dyDescent="0.2">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4.25" x14ac:dyDescent="0.2">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4.25" x14ac:dyDescent="0.2">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4.25" x14ac:dyDescent="0.2">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4.25" x14ac:dyDescent="0.2">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4.25" x14ac:dyDescent="0.2">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4.25" x14ac:dyDescent="0.2">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4.25" x14ac:dyDescent="0.2">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4.25" x14ac:dyDescent="0.2">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4.25" x14ac:dyDescent="0.2">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4.25" x14ac:dyDescent="0.2">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4.25" x14ac:dyDescent="0.2">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4.25" x14ac:dyDescent="0.2">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4.25" x14ac:dyDescent="0.2">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4.25" x14ac:dyDescent="0.2">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4.25" x14ac:dyDescent="0.2">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4.25" x14ac:dyDescent="0.2">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4.25" x14ac:dyDescent="0.2">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4.25" x14ac:dyDescent="0.2">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4.25" x14ac:dyDescent="0.2">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4.25" x14ac:dyDescent="0.2">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4.25" x14ac:dyDescent="0.2">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4.25" x14ac:dyDescent="0.2">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4.25" x14ac:dyDescent="0.2">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4.25" x14ac:dyDescent="0.2">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4.25" x14ac:dyDescent="0.2">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4.25" x14ac:dyDescent="0.2">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4.25" x14ac:dyDescent="0.2">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4.25" x14ac:dyDescent="0.2">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4.25" x14ac:dyDescent="0.2">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4.25" x14ac:dyDescent="0.2">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4.25" x14ac:dyDescent="0.2">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4.25" x14ac:dyDescent="0.2">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4.25" x14ac:dyDescent="0.2">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4.25" x14ac:dyDescent="0.2">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4.25" x14ac:dyDescent="0.2">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4.25" x14ac:dyDescent="0.2">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4.25" x14ac:dyDescent="0.2">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4.25" x14ac:dyDescent="0.2">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4.25" x14ac:dyDescent="0.2">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4.25" x14ac:dyDescent="0.2">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4.25" x14ac:dyDescent="0.2">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4.25" x14ac:dyDescent="0.2">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4.25" x14ac:dyDescent="0.2">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4.25" x14ac:dyDescent="0.2">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4.25" x14ac:dyDescent="0.2">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4.25" x14ac:dyDescent="0.2">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4.25" x14ac:dyDescent="0.2">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4.25" x14ac:dyDescent="0.2">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4.25" x14ac:dyDescent="0.2">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4.25" x14ac:dyDescent="0.2">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4.25" x14ac:dyDescent="0.2">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4.25" x14ac:dyDescent="0.2">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4.25" x14ac:dyDescent="0.2">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4.25" x14ac:dyDescent="0.2">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4.25" x14ac:dyDescent="0.2">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4.25" x14ac:dyDescent="0.2">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4.25" x14ac:dyDescent="0.2">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4.25" x14ac:dyDescent="0.2">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4.25" x14ac:dyDescent="0.2">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4.25" x14ac:dyDescent="0.2">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4.25" x14ac:dyDescent="0.2">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4.25" x14ac:dyDescent="0.2">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4.25" x14ac:dyDescent="0.2">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4.25" x14ac:dyDescent="0.2">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4.25" x14ac:dyDescent="0.2">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4.25" x14ac:dyDescent="0.2">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4.25" x14ac:dyDescent="0.2">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4.25" x14ac:dyDescent="0.2">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4.25" x14ac:dyDescent="0.2">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4.25" x14ac:dyDescent="0.2">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4.25" x14ac:dyDescent="0.2">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4.25" x14ac:dyDescent="0.2">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4.25" x14ac:dyDescent="0.2">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4.25" x14ac:dyDescent="0.2">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4.25" x14ac:dyDescent="0.2">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4.25" x14ac:dyDescent="0.2">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4.25" x14ac:dyDescent="0.2">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4.25" x14ac:dyDescent="0.2">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4.25" x14ac:dyDescent="0.2">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4.25" x14ac:dyDescent="0.2">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4.25" x14ac:dyDescent="0.2">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4.25" x14ac:dyDescent="0.2">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4.25" x14ac:dyDescent="0.2">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4.25" x14ac:dyDescent="0.2">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4.25" x14ac:dyDescent="0.2">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4.25" x14ac:dyDescent="0.2">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4.25" x14ac:dyDescent="0.2">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4.25" x14ac:dyDescent="0.2">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4.25" x14ac:dyDescent="0.2">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4.25" x14ac:dyDescent="0.2">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4.25" x14ac:dyDescent="0.2">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4.25" x14ac:dyDescent="0.2">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4.25" x14ac:dyDescent="0.2">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4.25" x14ac:dyDescent="0.2">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4.25" x14ac:dyDescent="0.2">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4.25" x14ac:dyDescent="0.2">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4.25" x14ac:dyDescent="0.2">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4.25" x14ac:dyDescent="0.2">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4.25" x14ac:dyDescent="0.2">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4.25" x14ac:dyDescent="0.2">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4.25" x14ac:dyDescent="0.2">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4.25" x14ac:dyDescent="0.2">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4.25" x14ac:dyDescent="0.2">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4.25" x14ac:dyDescent="0.2">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4.25" x14ac:dyDescent="0.2">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4.25" x14ac:dyDescent="0.2">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4.25" x14ac:dyDescent="0.2">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4.25" x14ac:dyDescent="0.2">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4.25" x14ac:dyDescent="0.2">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4.25" x14ac:dyDescent="0.2">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4.25" x14ac:dyDescent="0.2">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4.25" x14ac:dyDescent="0.2">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4.25" x14ac:dyDescent="0.2">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4.25" x14ac:dyDescent="0.2">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4.25" x14ac:dyDescent="0.2">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4.25" x14ac:dyDescent="0.2">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4.25" x14ac:dyDescent="0.2">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4.25" x14ac:dyDescent="0.2">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4.25" x14ac:dyDescent="0.2">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4.25" x14ac:dyDescent="0.2">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4.25" x14ac:dyDescent="0.2">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4.25" x14ac:dyDescent="0.2">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4.25" x14ac:dyDescent="0.2">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4.25" x14ac:dyDescent="0.2">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4.25" x14ac:dyDescent="0.2">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4.25" x14ac:dyDescent="0.2">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4.25" x14ac:dyDescent="0.2">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4.25" x14ac:dyDescent="0.2">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4.25" x14ac:dyDescent="0.2">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4.25" x14ac:dyDescent="0.2">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4.25" x14ac:dyDescent="0.2">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4.25" x14ac:dyDescent="0.2">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4.25" x14ac:dyDescent="0.2">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4.25" x14ac:dyDescent="0.2">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4.25" x14ac:dyDescent="0.2">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4.25" x14ac:dyDescent="0.2">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4.25" x14ac:dyDescent="0.2">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4.25" x14ac:dyDescent="0.2">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4.25" x14ac:dyDescent="0.2">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4.25" x14ac:dyDescent="0.2">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4.25" x14ac:dyDescent="0.2">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4.25" x14ac:dyDescent="0.2">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4.25" x14ac:dyDescent="0.2">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4.25" x14ac:dyDescent="0.2">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4.25" x14ac:dyDescent="0.2">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4.25" x14ac:dyDescent="0.2">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4.25" x14ac:dyDescent="0.2">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4.25" x14ac:dyDescent="0.2">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4.25" x14ac:dyDescent="0.2">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4.25" x14ac:dyDescent="0.2">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4.25" x14ac:dyDescent="0.2">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4.25" x14ac:dyDescent="0.2">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5" thickBot="1" x14ac:dyDescent="0.25">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25">
      <c r="B260" s="46"/>
      <c r="C260" s="46"/>
      <c r="D260" s="276"/>
      <c r="E260" s="502">
        <f>SUM(E12:E259)</f>
        <v>0.93100000000000005</v>
      </c>
      <c r="F260" s="46"/>
      <c r="G260" s="46"/>
      <c r="H260" s="46"/>
      <c r="I260" s="46"/>
      <c r="J260" s="46"/>
      <c r="K260" s="46"/>
      <c r="L260" s="46"/>
      <c r="M260" s="46"/>
      <c r="N260" s="46"/>
      <c r="O260" s="46"/>
      <c r="P260" s="46"/>
      <c r="Q260" s="46"/>
      <c r="R260" s="46"/>
      <c r="S260" s="46"/>
      <c r="T260" s="46"/>
      <c r="U260" s="982"/>
      <c r="V260" s="983"/>
      <c r="W260" s="502">
        <f>SUM(W12:W259)</f>
        <v>9.3067602774942007</v>
      </c>
      <c r="X260" s="46"/>
      <c r="Y260" s="46"/>
    </row>
    <row r="261" spans="2:33" ht="28.9" customHeight="1" x14ac:dyDescent="0.2">
      <c r="E261" s="980"/>
      <c r="F261" s="980"/>
      <c r="G261" s="980"/>
      <c r="H261" s="980"/>
      <c r="I261" s="980"/>
      <c r="J261" s="980"/>
    </row>
    <row r="262" spans="2:33" ht="27" customHeight="1" x14ac:dyDescent="0.2"/>
    <row r="263" spans="2:33" ht="14.25" x14ac:dyDescent="0.2"/>
    <row r="264" spans="2:33" ht="14.25" x14ac:dyDescent="0.2"/>
    <row r="265" spans="2:33" ht="14.25" x14ac:dyDescent="0.2"/>
    <row r="266" spans="2:33" ht="14.25" x14ac:dyDescent="0.2"/>
    <row r="267" spans="2:33" ht="14.25" x14ac:dyDescent="0.2"/>
    <row r="268" spans="2:33" ht="14.25" x14ac:dyDescent="0.2"/>
  </sheetData>
  <sheetProtection algorithmName="SHA-512" hashValue="SkrYrI639/OStHpZiMIfDaz53gV48h7E4+361wHoW2tSmBaCa4BfrjoDJmXE6Stk3EJWHONUgy8jnGAeVkBU5w==" saltValue="0XExb9vjCcXUPbYdVB8kZ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60" zoomScaleNormal="60" workbookViewId="0">
      <pane ySplit="11" topLeftCell="A12" activePane="bottomLeft" state="frozen"/>
      <selection activeCell="S28" sqref="S28"/>
      <selection pane="bottomLeft" activeCell="Z12" sqref="Z12:Z16"/>
    </sheetView>
  </sheetViews>
  <sheetFormatPr defaultColWidth="0" defaultRowHeight="0" customHeight="1" zeroHeight="1" x14ac:dyDescent="0.2"/>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x14ac:dyDescent="0.25"/>
    <row r="2" spans="2:46" ht="19.899999999999999" customHeight="1" thickBot="1" x14ac:dyDescent="0.25">
      <c r="B2" s="986" t="str">
        <f>IF(Start!F12="","",Start!F12)</f>
        <v>Tyting Farm Mitigation Bank</v>
      </c>
      <c r="C2" s="987"/>
      <c r="D2" s="988"/>
      <c r="O2" s="132"/>
      <c r="X2" s="908" t="str">
        <f ca="1">IF(OR(COUNTIF($X$12:X257,"*30+*")&gt;0,COUNTIF($AB$12:AB257,"*30+*")&gt;0),"Note; Habitat selected has a time to target condition greater than 30 years. Non standard agreement may be required.","")</f>
        <v/>
      </c>
      <c r="Y2" s="908"/>
      <c r="Z2" s="908"/>
      <c r="AA2" s="908"/>
      <c r="AB2" s="908"/>
      <c r="AC2" s="908"/>
    </row>
    <row r="3" spans="2:46" ht="21" customHeight="1" x14ac:dyDescent="0.2">
      <c r="B3" s="940" t="str">
        <f ca="1">MID(CELL("filename",A1),FIND("]",CELL("filename",A1))+1,256)</f>
        <v>B-3 Site Hedge Enhancement</v>
      </c>
      <c r="C3" s="941"/>
      <c r="D3" s="942"/>
      <c r="X3" s="908"/>
      <c r="Y3" s="908"/>
      <c r="Z3" s="908"/>
      <c r="AA3" s="908"/>
      <c r="AB3" s="908"/>
      <c r="AC3" s="908"/>
    </row>
    <row r="4" spans="2:46" ht="15.75" customHeight="1" thickBot="1" x14ac:dyDescent="0.3">
      <c r="B4" s="943"/>
      <c r="C4" s="944"/>
      <c r="D4" s="945"/>
      <c r="V4" s="33"/>
      <c r="W4" s="193"/>
      <c r="X4" s="908"/>
      <c r="Y4" s="908"/>
      <c r="Z4" s="908"/>
      <c r="AA4" s="908"/>
      <c r="AB4" s="908"/>
      <c r="AC4" s="908"/>
      <c r="AD4" s="193"/>
      <c r="AE4" s="193"/>
      <c r="AF4" s="193"/>
      <c r="AG4" s="193"/>
      <c r="AH4" s="193"/>
      <c r="AI4" s="193"/>
      <c r="AJ4" s="193"/>
    </row>
    <row r="5" spans="2:46" ht="15.75" customHeight="1" x14ac:dyDescent="0.2">
      <c r="X5" s="402"/>
      <c r="Y5" s="402"/>
      <c r="Z5" s="402"/>
      <c r="AA5" s="402"/>
      <c r="AB5" s="402"/>
    </row>
    <row r="6" spans="2:46" ht="15.75" customHeight="1" x14ac:dyDescent="0.2">
      <c r="X6" s="402"/>
      <c r="Y6" s="402"/>
      <c r="Z6" s="402"/>
      <c r="AA6" s="402"/>
      <c r="AB6" s="402"/>
    </row>
    <row r="7" spans="2:46" ht="14.25" x14ac:dyDescent="0.2">
      <c r="B7" s="132"/>
      <c r="C7" s="132"/>
      <c r="M7" s="131"/>
    </row>
    <row r="8" spans="2:46" ht="19.899999999999999" customHeight="1" thickBot="1" x14ac:dyDescent="0.25"/>
    <row r="9" spans="2:46" ht="15" thickBot="1" x14ac:dyDescent="0.25">
      <c r="C9" s="131"/>
      <c r="D9" s="131"/>
      <c r="E9" s="131"/>
      <c r="F9" s="131"/>
      <c r="G9" s="131"/>
      <c r="H9" s="131"/>
      <c r="I9" s="131"/>
      <c r="J9" s="131"/>
      <c r="K9" s="131"/>
      <c r="L9" s="131"/>
      <c r="M9" s="989" t="s">
        <v>249</v>
      </c>
      <c r="N9" s="990"/>
      <c r="O9" s="990"/>
      <c r="P9" s="990"/>
      <c r="Q9" s="990"/>
      <c r="R9" s="990"/>
      <c r="S9" s="990"/>
      <c r="T9" s="990"/>
      <c r="U9" s="990"/>
      <c r="V9" s="990"/>
      <c r="W9" s="990"/>
      <c r="X9" s="990"/>
      <c r="Y9" s="990"/>
      <c r="Z9" s="990"/>
      <c r="AA9" s="990"/>
      <c r="AB9" s="990"/>
      <c r="AC9" s="990"/>
      <c r="AD9" s="990"/>
      <c r="AE9" s="990"/>
      <c r="AF9" s="990"/>
      <c r="AG9" s="991"/>
    </row>
    <row r="10" spans="2:46" ht="28.15" customHeight="1" thickBot="1" x14ac:dyDescent="0.25">
      <c r="B10" s="197"/>
      <c r="C10" s="985" t="s">
        <v>331</v>
      </c>
      <c r="D10" s="985"/>
      <c r="E10" s="985"/>
      <c r="F10" s="985"/>
      <c r="G10" s="985"/>
      <c r="H10" s="985"/>
      <c r="I10" s="985"/>
      <c r="J10" s="985"/>
      <c r="K10" s="985"/>
      <c r="L10" s="985"/>
      <c r="M10" s="938" t="s">
        <v>332</v>
      </c>
      <c r="N10" s="992" t="s">
        <v>333</v>
      </c>
      <c r="O10" s="992"/>
      <c r="P10" s="938" t="s">
        <v>319</v>
      </c>
      <c r="Q10" s="879" t="s">
        <v>195</v>
      </c>
      <c r="R10" s="877"/>
      <c r="S10" s="955" t="s">
        <v>196</v>
      </c>
      <c r="T10" s="877"/>
      <c r="U10" s="949" t="s">
        <v>197</v>
      </c>
      <c r="V10" s="949"/>
      <c r="W10" s="949"/>
      <c r="X10" s="966" t="s">
        <v>252</v>
      </c>
      <c r="Y10" s="967"/>
      <c r="Z10" s="967"/>
      <c r="AA10" s="967"/>
      <c r="AB10" s="967"/>
      <c r="AC10" s="968"/>
      <c r="AD10" s="939" t="s">
        <v>276</v>
      </c>
      <c r="AE10" s="939"/>
      <c r="AF10" s="939"/>
      <c r="AG10" s="939"/>
      <c r="AH10" s="939" t="s">
        <v>327</v>
      </c>
      <c r="AI10" s="958" t="s">
        <v>202</v>
      </c>
      <c r="AJ10" s="949"/>
    </row>
    <row r="11" spans="2:46" ht="61.5" customHeight="1" x14ac:dyDescent="0.2">
      <c r="B11" s="135" t="s">
        <v>278</v>
      </c>
      <c r="C11" s="136" t="s">
        <v>279</v>
      </c>
      <c r="D11" s="136" t="s">
        <v>319</v>
      </c>
      <c r="E11" s="136" t="s">
        <v>281</v>
      </c>
      <c r="F11" s="136" t="s">
        <v>282</v>
      </c>
      <c r="G11" s="136" t="s">
        <v>283</v>
      </c>
      <c r="H11" s="136" t="s">
        <v>284</v>
      </c>
      <c r="I11" s="136" t="s">
        <v>285</v>
      </c>
      <c r="J11" s="136" t="s">
        <v>286</v>
      </c>
      <c r="K11" s="136" t="s">
        <v>287</v>
      </c>
      <c r="L11" s="137" t="s">
        <v>334</v>
      </c>
      <c r="M11" s="939"/>
      <c r="N11" s="367" t="s">
        <v>335</v>
      </c>
      <c r="O11" s="201" t="s">
        <v>336</v>
      </c>
      <c r="P11" s="939"/>
      <c r="Q11" s="141" t="s">
        <v>195</v>
      </c>
      <c r="R11" s="358" t="s">
        <v>212</v>
      </c>
      <c r="S11" s="368" t="s">
        <v>196</v>
      </c>
      <c r="T11" s="358" t="s">
        <v>212</v>
      </c>
      <c r="U11" s="367" t="s">
        <v>197</v>
      </c>
      <c r="V11" s="200" t="s">
        <v>197</v>
      </c>
      <c r="W11" s="201" t="s">
        <v>255</v>
      </c>
      <c r="X11" s="367" t="s">
        <v>329</v>
      </c>
      <c r="Y11" s="200" t="s">
        <v>292</v>
      </c>
      <c r="Z11" s="200" t="s">
        <v>293</v>
      </c>
      <c r="AA11" s="200" t="s">
        <v>259</v>
      </c>
      <c r="AB11" s="200" t="s">
        <v>260</v>
      </c>
      <c r="AC11" s="201" t="s">
        <v>337</v>
      </c>
      <c r="AD11" s="367" t="s">
        <v>338</v>
      </c>
      <c r="AE11" s="200" t="s">
        <v>330</v>
      </c>
      <c r="AF11" s="200" t="s">
        <v>339</v>
      </c>
      <c r="AG11" s="201" t="s">
        <v>265</v>
      </c>
      <c r="AH11" s="984"/>
      <c r="AI11" s="368" t="s">
        <v>221</v>
      </c>
      <c r="AJ11" s="358" t="s">
        <v>222</v>
      </c>
      <c r="AT11" s="131" t="s">
        <v>206</v>
      </c>
    </row>
    <row r="12" spans="2:46" ht="28.5" x14ac:dyDescent="0.2">
      <c r="B12" s="530">
        <f>'B-1 Site Hedge Baseline'!AK10</f>
        <v>5</v>
      </c>
      <c r="C12" s="519" t="str">
        <f ca="1">IF(B12="","",IF(ISNA(VLOOKUP($B12,'B-1 Site Hedge Baseline'!$B$1:$L$257,3,FALSE)),"",(VLOOKUP($B12,'B-1 Site Hedge Baseline'!$B$1:$L$257,3,FALSE))))</f>
        <v>Native Hedgerow with trees</v>
      </c>
      <c r="D12" s="519">
        <f ca="1">IF(B12="","",IF(ISNA(VLOOKUP($B12,'B-1 Site Hedge Baseline'!$B$1:$L$257,4,FALSE)),"",(VLOOKUP($B12,'B-1 Site Hedge Baseline'!$B$1:$L$257,4,FALSE))))</f>
        <v>0.16200000000000001</v>
      </c>
      <c r="E12" s="519" t="str">
        <f ca="1">IF(B12="","",IF(ISNA(VLOOKUP($B12,'B-1 Site Hedge Baseline'!$B$1:$L$257,5,FALSE)),"",(VLOOKUP($B12,'B-1 Site Hedge Baseline'!$B$1:$L$257,5,FALSE))))</f>
        <v>Medium</v>
      </c>
      <c r="F12" s="519">
        <f ca="1">IF(B12="","",IF(ISNA(VLOOKUP($B12,'B-1 Site Hedge Baseline'!$B$1:$L$257,6,FALSE)),"",(VLOOKUP($B12,'B-1 Site Hedge Baseline'!$B$1:$L$257,6,FALSE))))</f>
        <v>4</v>
      </c>
      <c r="G12" s="519" t="str">
        <f ca="1">IF(B12="","",IF(ISNA(VLOOKUP($B12,'B-1 Site Hedge Baseline'!$B$1:$L$257,7,FALSE)),"",(VLOOKUP($B12,'B-1 Site Hedge Baseline'!$B$1:$L$257,7,FALSE))))</f>
        <v>Moderate</v>
      </c>
      <c r="H12" s="519">
        <f ca="1">IF(B12="","",IF(ISNA(VLOOKUP($B12,'B-1 Site Hedge Baseline'!$B$1:$L$257,8,FALSE)),"",(VLOOKUP($B12,'B-1 Site Hedge Baseline'!$B$1:$L$257,8,FALSE))))</f>
        <v>2</v>
      </c>
      <c r="I12" s="519" t="str">
        <f ca="1">IF(B12="","",IF(ISNA(VLOOKUP($B12,'B-1 Site Hedge Baseline'!$B$1:$L$257,10,FALSE)),"",(VLOOKUP($B12,'B-1 Site Hedge Baseline'!$B$1:$L$257,10,FALSE))))</f>
        <v xml:space="preserve">High strategic significance </v>
      </c>
      <c r="J12" s="519">
        <f ca="1">IF(B12="","",IF(ISNA(VLOOKUP($B12,'B-1 Site Hedge Baseline'!$B$1:$L$257,11,FALSE)),"",(VLOOKUP($B12,'B-1 Site Hedge Baseline'!$B$1:$L$257,11,FALSE))))</f>
        <v>1.1499999999999999</v>
      </c>
      <c r="K12" s="519">
        <f ca="1">IF(B12="","",IF(ISNA(VLOOKUP($B12,'B-1 Site Hedge Baseline'!$B$1:$U$257,13,FALSE)),"",(VLOOKUP($B12,'B-1 Site Hedge Baseline'!$B$1:$U$257,13,FALSE))))</f>
        <v>1.4903999999999999</v>
      </c>
      <c r="L12" s="523" t="str">
        <f ca="1">IF(B12="","",IF(ISNA(VLOOKUP($B12,'B-1 Site Hedge Baseline'!$B$1:$U$257,12,FALSE)),"",(VLOOKUP($B12,'B-1 Site Hedge Baseline'!$B$1:$U$257,12,FALSE))))</f>
        <v>Like for like or better</v>
      </c>
      <c r="M12" s="414" t="s">
        <v>119</v>
      </c>
      <c r="N12" s="497" t="str">
        <f ca="1">IFERROR(IF(B12="","",INDEX('G-6 Hedgerow Data'!$AN$3:$AZ$15,MATCH(C12,'G-6 Hedgerow Data'!$AM$3:$AM$15,0),MATCH(M12,'G-6 Hedgerow Data'!$AN$2:$AZ$2,0))),"")</f>
        <v>Medium - Medium</v>
      </c>
      <c r="O12" s="498" t="str">
        <f ca="1">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Moderate - Good</v>
      </c>
      <c r="P12" s="558">
        <f>IF(B12="","",VLOOKUP(B12,'B-1 Site Hedge Baseline'!$B$10:T257,16,FALSE))</f>
        <v>0.16200000000000001</v>
      </c>
      <c r="Q12" s="497" t="str">
        <f>IF(M12="","",VLOOKUP(M12,'G-6 Hedgerow Data'!$B$2:$AG$15,2,FALSE))</f>
        <v>Medium</v>
      </c>
      <c r="R12" s="498">
        <f>IF(M12="","",VLOOKUP(M12,'G-6 Hedgerow Data'!$B$2:$AG$15,3,FALSE))</f>
        <v>4</v>
      </c>
      <c r="S12" s="145" t="s">
        <v>27</v>
      </c>
      <c r="T12" s="539">
        <f>IFERROR(VLOOKUP(S12,'G-1 All Habitats'!$Z$2:$AA$9,2,FALSE),"")</f>
        <v>3</v>
      </c>
      <c r="U12" s="145" t="s">
        <v>231</v>
      </c>
      <c r="V12" s="519" t="str">
        <f>IF(U12="","",IF(VLOOKUP(U12,'G-3 Multipliers'!$L$3:$N$6,2,FALSE)=0,"Spatial Data Missing ⚠",VLOOKUP(U12,'G-3 Multipliers'!$L$3:$N$6,2,FALSE)))</f>
        <v xml:space="preserve">High strategic significance </v>
      </c>
      <c r="W12" s="523">
        <f>IF(U12="","",IF(VLOOKUP(U12,'G-3 Multipliers'!$L$3:$N$6,3,FALSE)=0,"Spatial Data Missing ⚠",VLOOKUP(U12,'G-3 Multipliers'!$L$3:$N$6,3,FALSE)))</f>
        <v>1.1499999999999999</v>
      </c>
      <c r="X12" s="497">
        <f ca="1">IFERROR(IF(OR(LEFT(O12,5)="Error ▲",LEFT(N12,5)="Error ▲",T12="Error ▲"),"Check Data ⚠",IF(F12&lt;R12,INDEX('G-6 Hedgerow Data'!$S$3:$AE$14,MATCH(C12,'G-6 Hedgerow Data'!$B$3:$B$14,0),MATCH(M12,'G-6 Hedgerow Data'!$S$2:$AE$2,0)),INDEX('G-6 Hedgerow Data'!$K$3:$Q$14,MATCH(M12,'G-6 Hedgerow Data'!$B$3:$B$14,0),MATCH(O12,'G-6 Hedgerow Data'!$K$2:$Q$2,0)))),"")</f>
        <v>4</v>
      </c>
      <c r="Y12" s="195">
        <v>0</v>
      </c>
      <c r="Z12" s="195">
        <v>0</v>
      </c>
      <c r="AA12" s="506"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520">
        <f ca="1">IF(X12="","",IF(AA12="Check Data ⚠","Check Data ⚠",IF(Y12="30+",0,IF(Z12="30+","30+ ⚠",IF(X12+Z12&gt;30,"30+ 'C-1 Site River Baseline'!",IF(LEFT(AA12,5)="Error ▲","Check Data ⚠",IF(X12+Z12-Y12&gt;0,X12+Z12-Y12,IF(X12-Y12&lt;=0,0,))))))))</f>
        <v>4</v>
      </c>
      <c r="AC12" s="521">
        <f t="shared" ref="AC12:AC75" ca="1" si="0">IF(OR(S12="",M12=""),"",IF(LEFT(AB12,5)="Error ▲","Check Data ⚠",IF(AB12="Check Data ⚠","Check Data ⚠",VLOOKUP(AB12,TemporalMultipliers,3,FALSE))))</f>
        <v>0.86718000059999989</v>
      </c>
      <c r="AD12" s="497" t="str">
        <f>IF(M12="","",VLOOKUP(M12,'G-6 Hedgerow Data'!$B$3:$AG$15,31,FALSE))</f>
        <v>Low</v>
      </c>
      <c r="AE12" s="506"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506" t="str">
        <f ca="1">(IF(AND(AE12="Standard difficulty applied",X12&gt;Y12),AD12,IF(AND(AE12="Low Difficulty - only applicable if all habitat created before losses ⚠",Y12&gt;=X12),"Low",AD12)))</f>
        <v>Low</v>
      </c>
      <c r="AG12" s="498">
        <f ca="1">IFERROR(IF(O12="","",VLOOKUP(AD12,'G-3 Multipliers'!$P$3:$Q$6,2,FALSE)),"")</f>
        <v>1</v>
      </c>
      <c r="AH12" s="512">
        <f ca="1">IFERROR(IF(OR(M12="",S12="",U12=""),"",(((((P12*R12*T12)-(P12*F12*H12))*(AG12*AC12))+(P12*F12*H12))*(W12))),"")</f>
        <v>2.1366225364471196</v>
      </c>
      <c r="AI12" s="418"/>
      <c r="AJ12" s="239"/>
      <c r="AT12" s="31" t="str">
        <f>IFERROR(INDEX('G-6 Hedgerow Data'!$BJ$3:$BJ$15,MATCH(M12,'G-6 Hedgerow Data'!$B$3:$B$15,0)),"")</f>
        <v>Hedgecond1</v>
      </c>
    </row>
    <row r="13" spans="2:46" ht="28.5" x14ac:dyDescent="0.2">
      <c r="B13" s="530">
        <f>'B-1 Site Hedge Baseline'!AK11</f>
        <v>7</v>
      </c>
      <c r="C13" s="519" t="str">
        <f ca="1">IF(B13="","",IF(ISNA(VLOOKUP($B13,'B-1 Site Hedge Baseline'!$B$1:$L$257,3,FALSE)),"",(VLOOKUP($B13,'B-1 Site Hedge Baseline'!$B$1:$L$257,3,FALSE))))</f>
        <v>Native Hedgerow</v>
      </c>
      <c r="D13" s="519">
        <f ca="1">IF(B13="","",IF(ISNA(VLOOKUP($B13,'B-1 Site Hedge Baseline'!$B$1:$L$257,4,FALSE)),"",(VLOOKUP($B13,'B-1 Site Hedge Baseline'!$B$1:$L$257,4,FALSE))))</f>
        <v>0.80500000000000005</v>
      </c>
      <c r="E13" s="519" t="str">
        <f ca="1">IF(B13="","",IF(ISNA(VLOOKUP($B13,'B-1 Site Hedge Baseline'!$B$1:$L$257,5,FALSE)),"",(VLOOKUP($B13,'B-1 Site Hedge Baseline'!$B$1:$L$257,5,FALSE))))</f>
        <v>Low</v>
      </c>
      <c r="F13" s="519">
        <f ca="1">IF(B13="","",IF(ISNA(VLOOKUP($B13,'B-1 Site Hedge Baseline'!$B$1:$L$257,6,FALSE)),"",(VLOOKUP($B13,'B-1 Site Hedge Baseline'!$B$1:$L$257,6,FALSE))))</f>
        <v>2</v>
      </c>
      <c r="G13" s="519" t="str">
        <f ca="1">IF(B13="","",IF(ISNA(VLOOKUP($B13,'B-1 Site Hedge Baseline'!$B$1:$L$257,7,FALSE)),"",(VLOOKUP($B13,'B-1 Site Hedge Baseline'!$B$1:$L$257,7,FALSE))))</f>
        <v>Good</v>
      </c>
      <c r="H13" s="519">
        <f ca="1">IF(B13="","",IF(ISNA(VLOOKUP($B13,'B-1 Site Hedge Baseline'!$B$1:$L$257,8,FALSE)),"",(VLOOKUP($B13,'B-1 Site Hedge Baseline'!$B$1:$L$257,8,FALSE))))</f>
        <v>3</v>
      </c>
      <c r="I13" s="519" t="str">
        <f ca="1">IF(B13="","",IF(ISNA(VLOOKUP($B13,'B-1 Site Hedge Baseline'!$B$1:$L$257,10,FALSE)),"",(VLOOKUP($B13,'B-1 Site Hedge Baseline'!$B$1:$L$257,10,FALSE))))</f>
        <v xml:space="preserve">High strategic significance </v>
      </c>
      <c r="J13" s="519">
        <f ca="1">IF(B13="","",IF(ISNA(VLOOKUP($B13,'B-1 Site Hedge Baseline'!$B$1:$L$257,11,FALSE)),"",(VLOOKUP($B13,'B-1 Site Hedge Baseline'!$B$1:$L$257,11,FALSE))))</f>
        <v>1.1499999999999999</v>
      </c>
      <c r="K13" s="519">
        <f ca="1">IF(B13="","",IF(ISNA(VLOOKUP($B13,'B-1 Site Hedge Baseline'!$B$1:$U$257,13,FALSE)),"",(VLOOKUP($B13,'B-1 Site Hedge Baseline'!$B$1:$U$257,13,FALSE))))</f>
        <v>5.5545</v>
      </c>
      <c r="L13" s="523" t="str">
        <f ca="1">IF(B13="","",IF(ISNA(VLOOKUP($B13,'B-1 Site Hedge Baseline'!$B$1:$U$257,12,FALSE)),"",(VLOOKUP($B13,'B-1 Site Hedge Baseline'!$B$1:$U$257,12,FALSE))))</f>
        <v>Same distinctiveness band or better</v>
      </c>
      <c r="M13" s="414" t="s">
        <v>119</v>
      </c>
      <c r="N13" s="497" t="str">
        <f ca="1">IFERROR(IF(B13="","",INDEX('G-6 Hedgerow Data'!$AN$3:$AZ$15,MATCH(C13,'G-6 Hedgerow Data'!$AM$3:$AM$15,0),MATCH(M13,'G-6 Hedgerow Data'!$AN$2:$AZ$2,0))),"")</f>
        <v>Low - Medium</v>
      </c>
      <c r="O13" s="498" t="str">
        <f t="shared" ref="O13:O76" ca="1" si="1">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Lower Distinctiveness Habitat - Good</v>
      </c>
      <c r="P13" s="558">
        <f>IF(B13="","",VLOOKUP(B13,'B-1 Site Hedge Baseline'!$B$10:T258,16,FALSE))</f>
        <v>0.80500000000000005</v>
      </c>
      <c r="Q13" s="497" t="str">
        <f>IF(M13="","",VLOOKUP(M13,'G-6 Hedgerow Data'!$B$2:$AG$15,2,FALSE))</f>
        <v>Medium</v>
      </c>
      <c r="R13" s="498">
        <f>IF(M13="","",VLOOKUP(M13,'G-6 Hedgerow Data'!$B$2:$AG$15,3,FALSE))</f>
        <v>4</v>
      </c>
      <c r="S13" s="145" t="s">
        <v>27</v>
      </c>
      <c r="T13" s="539">
        <f>IFERROR(VLOOKUP(S13,'G-1 All Habitats'!$Z$2:$AA$9,2,FALSE),"")</f>
        <v>3</v>
      </c>
      <c r="U13" s="145" t="s">
        <v>231</v>
      </c>
      <c r="V13" s="519" t="str">
        <f>IF(U13="","",IF(VLOOKUP(U13,'G-3 Multipliers'!$L$3:$N$6,2,FALSE)=0,"Spatial Data Missing ⚠",VLOOKUP(U13,'G-3 Multipliers'!$L$3:$N$6,2,FALSE)))</f>
        <v xml:space="preserve">High strategic significance </v>
      </c>
      <c r="W13" s="523">
        <f>IF(U13="","",IF(VLOOKUP(U13,'G-3 Multipliers'!$L$3:$N$6,3,FALSE)=0,"Spatial Data Missing ⚠",VLOOKUP(U13,'G-3 Multipliers'!$L$3:$N$6,3,FALSE)))</f>
        <v>1.1499999999999999</v>
      </c>
      <c r="X13" s="497">
        <f ca="1">IFERROR(IF(OR(LEFT(O13,5)="Error ▲",LEFT(N13,5)="Error ▲",T13="Error ▲"),"Check Data ⚠",IF(F13&lt;R13,INDEX('G-6 Hedgerow Data'!$S$3:$AE$14,MATCH(C13,'G-6 Hedgerow Data'!$B$3:$B$14,0),MATCH(M13,'G-6 Hedgerow Data'!$S$2:$AE$2,0)),INDEX('G-6 Hedgerow Data'!$K$3:$Q$14,MATCH(M13,'G-6 Hedgerow Data'!$B$3:$B$14,0),MATCH(O13,'G-6 Hedgerow Data'!$K$2:$Q$2,0)))),"")</f>
        <v>10</v>
      </c>
      <c r="Y13" s="195">
        <v>0</v>
      </c>
      <c r="Z13" s="195">
        <v>0</v>
      </c>
      <c r="AA13" s="506"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Standard time to target condition applied</v>
      </c>
      <c r="AB13" s="520">
        <f t="shared" ref="AB13:AB76" ca="1" si="3">IF(X13="","",IF(AA13="Check Data ⚠","Check Data ⚠",IF(Y13="30+",0,IF(Z13="30+","30+ ⚠",IF(X13+Z13&gt;30,"30+ ⚠",IF(LEFT(AA13,5)="Error ▲","Check Data ⚠",IF(X13+Z13-Y13&gt;0,X13+Z13-Y13,IF(X13-Y13&lt;=0,0,))))))))</f>
        <v>10</v>
      </c>
      <c r="AC13" s="521">
        <f t="shared" ca="1" si="0"/>
        <v>0.70028227419999989</v>
      </c>
      <c r="AD13" s="536" t="str">
        <f>IF(M13="","",VLOOKUP(M13,'G-6 Hedgerow Data'!$B$3:$AG$15,31,FALSE))</f>
        <v>Low</v>
      </c>
      <c r="AE13" s="506"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506" t="str">
        <f t="shared" ref="AF13:AF76" ca="1" si="5">(IF(AND(AE13="Standard difficulty applied",X13&gt;Y13),AD13,IF(AND(AE13="Low Difficulty - only applicable if all habitat created before losses ⚠",Y13&gt;=X13),"Low",AD13)))</f>
        <v>Low</v>
      </c>
      <c r="AG13" s="523">
        <f ca="1">IFERROR(IF(O13="","",VLOOKUP(AD13,'G-3 Multipliers'!$P$3:$Q$6,2,FALSE)),"")</f>
        <v>1</v>
      </c>
      <c r="AH13" s="512">
        <f t="shared" ref="AH13:AH75" ca="1" si="6">IFERROR(IF(OR(M13="",S13="",U13=""),"",(((((P13*R13*T13)-(P13*F13*H13))*(AG13*AC13))+(P13*F13*H13))*(W13))),"")</f>
        <v>9.4442178920439002</v>
      </c>
      <c r="AI13" s="418"/>
      <c r="AJ13" s="239"/>
      <c r="AT13" s="31" t="str">
        <f>IFERROR(INDEX('G-6 Hedgerow Data'!$BJ$3:$BJ$15,MATCH(M13,'G-6 Hedgerow Data'!$B$3:$B$15,0)),"")</f>
        <v>Hedgecond1</v>
      </c>
    </row>
    <row r="14" spans="2:46" ht="28.5" x14ac:dyDescent="0.2">
      <c r="B14" s="530">
        <f>'B-1 Site Hedge Baseline'!AK12</f>
        <v>9</v>
      </c>
      <c r="C14" s="519" t="str">
        <f ca="1">IF(B14="","",IF(ISNA(VLOOKUP($B14,'B-1 Site Hedge Baseline'!$B$1:$L$257,3,FALSE)),"",(VLOOKUP($B14,'B-1 Site Hedge Baseline'!$B$1:$L$257,3,FALSE))))</f>
        <v>Native Hedgerow</v>
      </c>
      <c r="D14" s="519">
        <f ca="1">IF(B14="","",IF(ISNA(VLOOKUP($B14,'B-1 Site Hedge Baseline'!$B$1:$L$257,4,FALSE)),"",(VLOOKUP($B14,'B-1 Site Hedge Baseline'!$B$1:$L$257,4,FALSE))))</f>
        <v>0.53</v>
      </c>
      <c r="E14" s="519" t="str">
        <f ca="1">IF(B14="","",IF(ISNA(VLOOKUP($B14,'B-1 Site Hedge Baseline'!$B$1:$L$257,5,FALSE)),"",(VLOOKUP($B14,'B-1 Site Hedge Baseline'!$B$1:$L$257,5,FALSE))))</f>
        <v>Low</v>
      </c>
      <c r="F14" s="519">
        <f ca="1">IF(B14="","",IF(ISNA(VLOOKUP($B14,'B-1 Site Hedge Baseline'!$B$1:$L$257,6,FALSE)),"",(VLOOKUP($B14,'B-1 Site Hedge Baseline'!$B$1:$L$257,6,FALSE))))</f>
        <v>2</v>
      </c>
      <c r="G14" s="519" t="str">
        <f ca="1">IF(B14="","",IF(ISNA(VLOOKUP($B14,'B-1 Site Hedge Baseline'!$B$1:$L$257,7,FALSE)),"",(VLOOKUP($B14,'B-1 Site Hedge Baseline'!$B$1:$L$257,7,FALSE))))</f>
        <v>Moderate</v>
      </c>
      <c r="H14" s="519">
        <f ca="1">IF(B14="","",IF(ISNA(VLOOKUP($B14,'B-1 Site Hedge Baseline'!$B$1:$L$257,8,FALSE)),"",(VLOOKUP($B14,'B-1 Site Hedge Baseline'!$B$1:$L$257,8,FALSE))))</f>
        <v>2</v>
      </c>
      <c r="I14" s="519" t="str">
        <f ca="1">IF(B14="","",IF(ISNA(VLOOKUP($B14,'B-1 Site Hedge Baseline'!$B$1:$L$257,10,FALSE)),"",(VLOOKUP($B14,'B-1 Site Hedge Baseline'!$B$1:$L$257,10,FALSE))))</f>
        <v xml:space="preserve">High strategic significance </v>
      </c>
      <c r="J14" s="519">
        <f ca="1">IF(B14="","",IF(ISNA(VLOOKUP($B14,'B-1 Site Hedge Baseline'!$B$1:$L$257,11,FALSE)),"",(VLOOKUP($B14,'B-1 Site Hedge Baseline'!$B$1:$L$257,11,FALSE))))</f>
        <v>1.1499999999999999</v>
      </c>
      <c r="K14" s="519">
        <f ca="1">IF(B14="","",IF(ISNA(VLOOKUP($B14,'B-1 Site Hedge Baseline'!$B$1:$U$257,13,FALSE)),"",(VLOOKUP($B14,'B-1 Site Hedge Baseline'!$B$1:$U$257,13,FALSE))))</f>
        <v>2.4379999999999997</v>
      </c>
      <c r="L14" s="523" t="str">
        <f ca="1">IF(B14="","",IF(ISNA(VLOOKUP($B14,'B-1 Site Hedge Baseline'!$B$1:$U$257,12,FALSE)),"",(VLOOKUP($B14,'B-1 Site Hedge Baseline'!$B$1:$U$257,12,FALSE))))</f>
        <v>Same distinctiveness band or better</v>
      </c>
      <c r="M14" s="414" t="s">
        <v>119</v>
      </c>
      <c r="N14" s="497" t="str">
        <f ca="1">IFERROR(IF(B14="","",INDEX('G-6 Hedgerow Data'!$AN$3:$AZ$15,MATCH(C14,'G-6 Hedgerow Data'!$AM$3:$AM$15,0),MATCH(M14,'G-6 Hedgerow Data'!$AN$2:$AZ$2,0))),"")</f>
        <v>Low - Medium</v>
      </c>
      <c r="O14" s="498" t="str">
        <f t="shared" ca="1" si="1"/>
        <v>Lower Distinctiveness Habitat - Good</v>
      </c>
      <c r="P14" s="558">
        <f>IF(B14="","",VLOOKUP(B14,'B-1 Site Hedge Baseline'!$B$10:T259,16,FALSE))</f>
        <v>0.53</v>
      </c>
      <c r="Q14" s="497" t="str">
        <f>IF(M14="","",VLOOKUP(M14,'G-6 Hedgerow Data'!$B$2:$AG$15,2,FALSE))</f>
        <v>Medium</v>
      </c>
      <c r="R14" s="498">
        <f>IF(M14="","",VLOOKUP(M14,'G-6 Hedgerow Data'!$B$2:$AG$15,3,FALSE))</f>
        <v>4</v>
      </c>
      <c r="S14" s="145" t="s">
        <v>27</v>
      </c>
      <c r="T14" s="539">
        <f>IFERROR(VLOOKUP(S14,'G-1 All Habitats'!$Z$2:$AA$9,2,FALSE),"")</f>
        <v>3</v>
      </c>
      <c r="U14" s="145" t="s">
        <v>231</v>
      </c>
      <c r="V14" s="519" t="str">
        <f>IF(U14="","",IF(VLOOKUP(U14,'G-3 Multipliers'!$L$3:$N$6,2,FALSE)=0,"Spatial Data Missing ⚠",VLOOKUP(U14,'G-3 Multipliers'!$L$3:$N$6,2,FALSE)))</f>
        <v xml:space="preserve">High strategic significance </v>
      </c>
      <c r="W14" s="523">
        <f>IF(U14="","",IF(VLOOKUP(U14,'G-3 Multipliers'!$L$3:$N$6,3,FALSE)=0,"Spatial Data Missing ⚠",VLOOKUP(U14,'G-3 Multipliers'!$L$3:$N$6,3,FALSE)))</f>
        <v>1.1499999999999999</v>
      </c>
      <c r="X14" s="497">
        <f ca="1">IFERROR(IF(OR(LEFT(O14,5)="Error ▲",LEFT(N14,5)="Error ▲",T14="Error ▲"),"Check Data ⚠",IF(F14&lt;R14,INDEX('G-6 Hedgerow Data'!$S$3:$AE$14,MATCH(C14,'G-6 Hedgerow Data'!$B$3:$B$14,0),MATCH(M14,'G-6 Hedgerow Data'!$S$2:$AE$2,0)),INDEX('G-6 Hedgerow Data'!$K$3:$Q$14,MATCH(M14,'G-6 Hedgerow Data'!$B$3:$B$14,0),MATCH(O14,'G-6 Hedgerow Data'!$K$2:$Q$2,0)))),"")</f>
        <v>10</v>
      </c>
      <c r="Y14" s="195">
        <v>0</v>
      </c>
      <c r="Z14" s="195">
        <v>0</v>
      </c>
      <c r="AA14" s="506" t="str">
        <f t="shared" ca="1" si="2"/>
        <v>Standard time to target condition applied</v>
      </c>
      <c r="AB14" s="520">
        <f t="shared" ca="1" si="3"/>
        <v>10</v>
      </c>
      <c r="AC14" s="521">
        <f t="shared" ca="1" si="0"/>
        <v>0.70028227419999989</v>
      </c>
      <c r="AD14" s="536" t="str">
        <f>IF(M14="","",VLOOKUP(M14,'G-6 Hedgerow Data'!$B$3:$AG$15,31,FALSE))</f>
        <v>Low</v>
      </c>
      <c r="AE14" s="506" t="str">
        <f t="shared" ca="1" si="4"/>
        <v>Standard difficulty applied</v>
      </c>
      <c r="AF14" s="506" t="str">
        <f t="shared" ca="1" si="5"/>
        <v>Low</v>
      </c>
      <c r="AG14" s="523">
        <f ca="1">IFERROR(IF(O14="","",VLOOKUP(AD14,'G-3 Multipliers'!$P$3:$Q$6,2,FALSE)),"")</f>
        <v>1</v>
      </c>
      <c r="AH14" s="512">
        <f t="shared" ca="1" si="6"/>
        <v>5.8525763689991992</v>
      </c>
      <c r="AI14" s="418"/>
      <c r="AJ14" s="239"/>
      <c r="AT14" s="31" t="str">
        <f>IFERROR(INDEX('G-6 Hedgerow Data'!$BJ$3:$BJ$15,MATCH(M14,'G-6 Hedgerow Data'!$B$3:$B$15,0)),"")</f>
        <v>Hedgecond1</v>
      </c>
    </row>
    <row r="15" spans="2:46" ht="28.5" x14ac:dyDescent="0.2">
      <c r="B15" s="530">
        <f>'B-1 Site Hedge Baseline'!AK13</f>
        <v>10</v>
      </c>
      <c r="C15" s="519" t="str">
        <f ca="1">IF(B15="","",IF(ISNA(VLOOKUP($B15,'B-1 Site Hedge Baseline'!$B$1:$L$257,3,FALSE)),"",(VLOOKUP($B15,'B-1 Site Hedge Baseline'!$B$1:$L$257,3,FALSE))))</f>
        <v>Native Hedgerow</v>
      </c>
      <c r="D15" s="519">
        <f ca="1">IF(B15="","",IF(ISNA(VLOOKUP($B15,'B-1 Site Hedge Baseline'!$B$1:$L$257,4,FALSE)),"",(VLOOKUP($B15,'B-1 Site Hedge Baseline'!$B$1:$L$257,4,FALSE))))</f>
        <v>1.4870000000000001</v>
      </c>
      <c r="E15" s="519" t="str">
        <f ca="1">IF(B15="","",IF(ISNA(VLOOKUP($B15,'B-1 Site Hedge Baseline'!$B$1:$L$257,5,FALSE)),"",(VLOOKUP($B15,'B-1 Site Hedge Baseline'!$B$1:$L$257,5,FALSE))))</f>
        <v>Low</v>
      </c>
      <c r="F15" s="519">
        <f ca="1">IF(B15="","",IF(ISNA(VLOOKUP($B15,'B-1 Site Hedge Baseline'!$B$1:$L$257,6,FALSE)),"",(VLOOKUP($B15,'B-1 Site Hedge Baseline'!$B$1:$L$257,6,FALSE))))</f>
        <v>2</v>
      </c>
      <c r="G15" s="519" t="str">
        <f ca="1">IF(B15="","",IF(ISNA(VLOOKUP($B15,'B-1 Site Hedge Baseline'!$B$1:$L$257,7,FALSE)),"",(VLOOKUP($B15,'B-1 Site Hedge Baseline'!$B$1:$L$257,7,FALSE))))</f>
        <v>Poor</v>
      </c>
      <c r="H15" s="519">
        <f ca="1">IF(B15="","",IF(ISNA(VLOOKUP($B15,'B-1 Site Hedge Baseline'!$B$1:$L$257,8,FALSE)),"",(VLOOKUP($B15,'B-1 Site Hedge Baseline'!$B$1:$L$257,8,FALSE))))</f>
        <v>1</v>
      </c>
      <c r="I15" s="519" t="str">
        <f ca="1">IF(B15="","",IF(ISNA(VLOOKUP($B15,'B-1 Site Hedge Baseline'!$B$1:$L$257,10,FALSE)),"",(VLOOKUP($B15,'B-1 Site Hedge Baseline'!$B$1:$L$257,10,FALSE))))</f>
        <v xml:space="preserve">High strategic significance </v>
      </c>
      <c r="J15" s="519">
        <f ca="1">IF(B15="","",IF(ISNA(VLOOKUP($B15,'B-1 Site Hedge Baseline'!$B$1:$L$257,11,FALSE)),"",(VLOOKUP($B15,'B-1 Site Hedge Baseline'!$B$1:$L$257,11,FALSE))))</f>
        <v>1.1499999999999999</v>
      </c>
      <c r="K15" s="519">
        <f ca="1">IF(B15="","",IF(ISNA(VLOOKUP($B15,'B-1 Site Hedge Baseline'!$B$1:$U$257,13,FALSE)),"",(VLOOKUP($B15,'B-1 Site Hedge Baseline'!$B$1:$U$257,13,FALSE))))</f>
        <v>3.4201000000000001</v>
      </c>
      <c r="L15" s="523" t="str">
        <f ca="1">IF(B15="","",IF(ISNA(VLOOKUP($B15,'B-1 Site Hedge Baseline'!$B$1:$U$257,12,FALSE)),"",(VLOOKUP($B15,'B-1 Site Hedge Baseline'!$B$1:$U$257,12,FALSE))))</f>
        <v>Same distinctiveness band or better</v>
      </c>
      <c r="M15" s="414" t="s">
        <v>119</v>
      </c>
      <c r="N15" s="497" t="str">
        <f ca="1">IFERROR(IF(B15="","",INDEX('G-6 Hedgerow Data'!$AN$3:$AZ$15,MATCH(C15,'G-6 Hedgerow Data'!$AM$3:$AM$15,0),MATCH(M15,'G-6 Hedgerow Data'!$AN$2:$AZ$2,0))),"")</f>
        <v>Low - Medium</v>
      </c>
      <c r="O15" s="498" t="str">
        <f t="shared" ca="1" si="1"/>
        <v>Lower Distinctiveness Habitat - Good</v>
      </c>
      <c r="P15" s="558">
        <f>IF(B15="","",VLOOKUP(B15,'B-1 Site Hedge Baseline'!$B$10:T260,16,FALSE))</f>
        <v>1.4870000000000001</v>
      </c>
      <c r="Q15" s="497" t="str">
        <f>IF(M15="","",VLOOKUP(M15,'G-6 Hedgerow Data'!$B$2:$AG$15,2,FALSE))</f>
        <v>Medium</v>
      </c>
      <c r="R15" s="498">
        <f>IF(M15="","",VLOOKUP(M15,'G-6 Hedgerow Data'!$B$2:$AG$15,3,FALSE))</f>
        <v>4</v>
      </c>
      <c r="S15" s="145" t="s">
        <v>27</v>
      </c>
      <c r="T15" s="539">
        <f>IFERROR(VLOOKUP(S15,'G-1 All Habitats'!$Z$2:$AA$9,2,FALSE),"")</f>
        <v>3</v>
      </c>
      <c r="U15" s="145" t="s">
        <v>231</v>
      </c>
      <c r="V15" s="519" t="str">
        <f>IF(U15="","",IF(VLOOKUP(U15,'G-3 Multipliers'!$L$3:$N$6,2,FALSE)=0,"Spatial Data Missing ⚠",VLOOKUP(U15,'G-3 Multipliers'!$L$3:$N$6,2,FALSE)))</f>
        <v xml:space="preserve">High strategic significance </v>
      </c>
      <c r="W15" s="523">
        <f>IF(U15="","",IF(VLOOKUP(U15,'G-3 Multipliers'!$L$3:$N$6,3,FALSE)=0,"Spatial Data Missing ⚠",VLOOKUP(U15,'G-3 Multipliers'!$L$3:$N$6,3,FALSE)))</f>
        <v>1.1499999999999999</v>
      </c>
      <c r="X15" s="497">
        <f ca="1">IFERROR(IF(OR(LEFT(O15,5)="Error ▲",LEFT(N15,5)="Error ▲",T15="Error ▲"),"Check Data ⚠",IF(F15&lt;R15,INDEX('G-6 Hedgerow Data'!$S$3:$AE$14,MATCH(C15,'G-6 Hedgerow Data'!$B$3:$B$14,0),MATCH(M15,'G-6 Hedgerow Data'!$S$2:$AE$2,0)),INDEX('G-6 Hedgerow Data'!$K$3:$Q$14,MATCH(M15,'G-6 Hedgerow Data'!$B$3:$B$14,0),MATCH(O15,'G-6 Hedgerow Data'!$K$2:$Q$2,0)))),"")</f>
        <v>10</v>
      </c>
      <c r="Y15" s="195">
        <v>0</v>
      </c>
      <c r="Z15" s="195">
        <v>0</v>
      </c>
      <c r="AA15" s="506" t="str">
        <f t="shared" ca="1" si="2"/>
        <v>Standard time to target condition applied</v>
      </c>
      <c r="AB15" s="520">
        <f t="shared" ca="1" si="3"/>
        <v>10</v>
      </c>
      <c r="AC15" s="521">
        <f t="shared" ca="1" si="0"/>
        <v>0.70028227419999989</v>
      </c>
      <c r="AD15" s="536" t="str">
        <f>IF(M15="","",VLOOKUP(M15,'G-6 Hedgerow Data'!$B$3:$AG$15,31,FALSE))</f>
        <v>Low</v>
      </c>
      <c r="AE15" s="506" t="str">
        <f t="shared" ca="1" si="4"/>
        <v>Standard difficulty applied</v>
      </c>
      <c r="AF15" s="506" t="str">
        <f t="shared" ca="1" si="5"/>
        <v>Low</v>
      </c>
      <c r="AG15" s="523">
        <f ca="1">IFERROR(IF(O15="","",VLOOKUP(AD15,'G-3 Multipliers'!$P$3:$Q$6,2,FALSE)),"")</f>
        <v>1</v>
      </c>
      <c r="AH15" s="512">
        <f t="shared" ca="1" si="6"/>
        <v>15.395277029957098</v>
      </c>
      <c r="AI15" s="418"/>
      <c r="AJ15" s="239"/>
      <c r="AT15" s="31" t="str">
        <f>IFERROR(INDEX('G-6 Hedgerow Data'!$BJ$3:$BJ$15,MATCH(M15,'G-6 Hedgerow Data'!$B$3:$B$15,0)),"")</f>
        <v>Hedgecond1</v>
      </c>
    </row>
    <row r="16" spans="2:46" ht="28.5" x14ac:dyDescent="0.2">
      <c r="B16" s="530">
        <f>'B-1 Site Hedge Baseline'!AK14</f>
        <v>11</v>
      </c>
      <c r="C16" s="519" t="str">
        <f ca="1">IF(B16="","",IF(ISNA(VLOOKUP($B16,'B-1 Site Hedge Baseline'!$B$1:$L$257,3,FALSE)),"",(VLOOKUP($B16,'B-1 Site Hedge Baseline'!$B$1:$L$257,3,FALSE))))</f>
        <v>Native Hedgerow</v>
      </c>
      <c r="D16" s="519">
        <f ca="1">IF(B16="","",IF(ISNA(VLOOKUP($B16,'B-1 Site Hedge Baseline'!$B$1:$L$257,4,FALSE)),"",(VLOOKUP($B16,'B-1 Site Hedge Baseline'!$B$1:$L$257,4,FALSE))))</f>
        <v>0.747</v>
      </c>
      <c r="E16" s="519" t="str">
        <f ca="1">IF(B16="","",IF(ISNA(VLOOKUP($B16,'B-1 Site Hedge Baseline'!$B$1:$L$257,5,FALSE)),"",(VLOOKUP($B16,'B-1 Site Hedge Baseline'!$B$1:$L$257,5,FALSE))))</f>
        <v>Low</v>
      </c>
      <c r="F16" s="519">
        <f ca="1">IF(B16="","",IF(ISNA(VLOOKUP($B16,'B-1 Site Hedge Baseline'!$B$1:$L$257,6,FALSE)),"",(VLOOKUP($B16,'B-1 Site Hedge Baseline'!$B$1:$L$257,6,FALSE))))</f>
        <v>2</v>
      </c>
      <c r="G16" s="519" t="str">
        <f ca="1">IF(B16="","",IF(ISNA(VLOOKUP($B16,'B-1 Site Hedge Baseline'!$B$1:$L$257,7,FALSE)),"",(VLOOKUP($B16,'B-1 Site Hedge Baseline'!$B$1:$L$257,7,FALSE))))</f>
        <v>Poor</v>
      </c>
      <c r="H16" s="519">
        <f ca="1">IF(B16="","",IF(ISNA(VLOOKUP($B16,'B-1 Site Hedge Baseline'!$B$1:$L$257,8,FALSE)),"",(VLOOKUP($B16,'B-1 Site Hedge Baseline'!$B$1:$L$257,8,FALSE))))</f>
        <v>1</v>
      </c>
      <c r="I16" s="519" t="str">
        <f ca="1">IF(B16="","",IF(ISNA(VLOOKUP($B16,'B-1 Site Hedge Baseline'!$B$1:$L$257,10,FALSE)),"",(VLOOKUP($B16,'B-1 Site Hedge Baseline'!$B$1:$L$257,10,FALSE))))</f>
        <v xml:space="preserve">High strategic significance </v>
      </c>
      <c r="J16" s="519">
        <f ca="1">IF(B16="","",IF(ISNA(VLOOKUP($B16,'B-1 Site Hedge Baseline'!$B$1:$L$257,11,FALSE)),"",(VLOOKUP($B16,'B-1 Site Hedge Baseline'!$B$1:$L$257,11,FALSE))))</f>
        <v>1.1499999999999999</v>
      </c>
      <c r="K16" s="519">
        <f ca="1">IF(B16="","",IF(ISNA(VLOOKUP($B16,'B-1 Site Hedge Baseline'!$B$1:$U$257,13,FALSE)),"",(VLOOKUP($B16,'B-1 Site Hedge Baseline'!$B$1:$U$257,13,FALSE))))</f>
        <v>1.7181</v>
      </c>
      <c r="L16" s="523" t="str">
        <f ca="1">IF(B16="","",IF(ISNA(VLOOKUP($B16,'B-1 Site Hedge Baseline'!$B$1:$U$257,12,FALSE)),"",(VLOOKUP($B16,'B-1 Site Hedge Baseline'!$B$1:$U$257,12,FALSE))))</f>
        <v>Same distinctiveness band or better</v>
      </c>
      <c r="M16" s="414" t="s">
        <v>122</v>
      </c>
      <c r="N16" s="497" t="str">
        <f ca="1">IFERROR(IF(B16="","",INDEX('G-6 Hedgerow Data'!$AN$3:$AZ$15,MATCH(C16,'G-6 Hedgerow Data'!$AM$3:$AM$15,0),MATCH(M16,'G-6 Hedgerow Data'!$AN$2:$AZ$2,0))),"")</f>
        <v>Low - Low</v>
      </c>
      <c r="O16" s="498" t="str">
        <f t="shared" ca="1" si="1"/>
        <v>Poor - Moderate</v>
      </c>
      <c r="P16" s="558">
        <f>IF(B16="","",VLOOKUP(B16,'B-1 Site Hedge Baseline'!$B$10:T261,16,FALSE))</f>
        <v>0.747</v>
      </c>
      <c r="Q16" s="497" t="str">
        <f>IF(M16="","",VLOOKUP(M16,'G-6 Hedgerow Data'!$B$2:$AG$15,2,FALSE))</f>
        <v>Low</v>
      </c>
      <c r="R16" s="498">
        <f>IF(M16="","",VLOOKUP(M16,'G-6 Hedgerow Data'!$B$2:$AG$15,3,FALSE))</f>
        <v>2</v>
      </c>
      <c r="S16" s="145" t="s">
        <v>26</v>
      </c>
      <c r="T16" s="539">
        <f>IFERROR(VLOOKUP(S16,'G-1 All Habitats'!$Z$2:$AA$9,2,FALSE),"")</f>
        <v>2</v>
      </c>
      <c r="U16" s="145" t="s">
        <v>231</v>
      </c>
      <c r="V16" s="519" t="str">
        <f>IF(U16="","",IF(VLOOKUP(U16,'G-3 Multipliers'!$L$3:$N$6,2,FALSE)=0,"Spatial Data Missing ⚠",VLOOKUP(U16,'G-3 Multipliers'!$L$3:$N$6,2,FALSE)))</f>
        <v xml:space="preserve">High strategic significance </v>
      </c>
      <c r="W16" s="523">
        <f>IF(U16="","",IF(VLOOKUP(U16,'G-3 Multipliers'!$L$3:$N$6,3,FALSE)=0,"Spatial Data Missing ⚠",VLOOKUP(U16,'G-3 Multipliers'!$L$3:$N$6,3,FALSE)))</f>
        <v>1.1499999999999999</v>
      </c>
      <c r="X16" s="497">
        <f ca="1">IFERROR(IF(OR(LEFT(O16,5)="Error ▲",LEFT(N16,5)="Error ▲",T16="Error ▲"),"Check Data ⚠",IF(F16&lt;R16,INDEX('G-6 Hedgerow Data'!$S$3:$AE$14,MATCH(C16,'G-6 Hedgerow Data'!$B$3:$B$14,0),MATCH(M16,'G-6 Hedgerow Data'!$S$2:$AE$2,0)),INDEX('G-6 Hedgerow Data'!$K$3:$Q$14,MATCH(M16,'G-6 Hedgerow Data'!$B$3:$B$14,0),MATCH(O16,'G-6 Hedgerow Data'!$K$2:$Q$2,0)))),"")</f>
        <v>3</v>
      </c>
      <c r="Y16" s="195">
        <v>0</v>
      </c>
      <c r="Z16" s="195">
        <v>0</v>
      </c>
      <c r="AA16" s="506" t="str">
        <f t="shared" ca="1" si="2"/>
        <v>Standard time to target condition applied</v>
      </c>
      <c r="AB16" s="520">
        <f t="shared" ca="1" si="3"/>
        <v>3</v>
      </c>
      <c r="AC16" s="521">
        <f t="shared" ca="1" si="0"/>
        <v>0.898632125</v>
      </c>
      <c r="AD16" s="536" t="str">
        <f>IF(M16="","",VLOOKUP(M16,'G-6 Hedgerow Data'!$B$3:$AG$15,31,FALSE))</f>
        <v>Low</v>
      </c>
      <c r="AE16" s="506" t="str">
        <f t="shared" ca="1" si="4"/>
        <v>Standard difficulty applied</v>
      </c>
      <c r="AF16" s="506" t="str">
        <f t="shared" ca="1" si="5"/>
        <v>Low</v>
      </c>
      <c r="AG16" s="523">
        <f ca="1">IFERROR(IF(O16="","",VLOOKUP(AD16,'G-3 Multipliers'!$P$3:$Q$6,2,FALSE)),"")</f>
        <v>1</v>
      </c>
      <c r="AH16" s="512">
        <f ca="1">IFERROR(IF(OR(M16="",S16="",U16=""),"",(((((P16*R16*T16)-(P16*F16*H16))*(AG16*AC16))+(P16*F16*H16))*(W16))),"")</f>
        <v>3.2620398539625</v>
      </c>
      <c r="AI16" s="230"/>
      <c r="AJ16" s="150"/>
      <c r="AT16" s="31" t="str">
        <f>IFERROR(INDEX('G-6 Hedgerow Data'!$BJ$3:$BJ$15,MATCH(M16,'G-6 Hedgerow Data'!$B$3:$B$15,0)),"")</f>
        <v>Hedgecond1</v>
      </c>
    </row>
    <row r="17" spans="2:46" ht="14.25" x14ac:dyDescent="0.2">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c r="N17" s="497" t="str">
        <f>IFERROR(IF(B17="","",INDEX('G-6 Hedgerow Data'!$AN$3:$AZ$15,MATCH(C17,'G-6 Hedgerow Data'!$AM$3:$AM$15,0),MATCH(M17,'G-6 Hedgerow Data'!$AN$2:$AZ$2,0))),"")</f>
        <v/>
      </c>
      <c r="O17" s="498" t="str">
        <f t="shared" si="1"/>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2"/>
        <v/>
      </c>
      <c r="AB17" s="520" t="str">
        <f t="shared" si="3"/>
        <v/>
      </c>
      <c r="AC17" s="521" t="str">
        <f t="shared" si="0"/>
        <v/>
      </c>
      <c r="AD17" s="536" t="str">
        <f>IF(M17="","",VLOOKUP(M17,'G-6 Hedgerow Data'!$B$3:$AG$15,31,FALSE))</f>
        <v/>
      </c>
      <c r="AE17" s="506" t="str">
        <f t="shared" si="4"/>
        <v/>
      </c>
      <c r="AF17" s="506" t="str">
        <f t="shared" si="5"/>
        <v/>
      </c>
      <c r="AG17" s="523" t="str">
        <f>IFERROR(IF(O17="","",VLOOKUP(AD17,'G-3 Multipliers'!$P$3:$Q$6,2,FALSE)),"")</f>
        <v/>
      </c>
      <c r="AH17" s="512" t="str">
        <f t="shared" si="6"/>
        <v/>
      </c>
      <c r="AI17" s="230"/>
      <c r="AJ17" s="150"/>
      <c r="AT17" s="31" t="str">
        <f>IFERROR(INDEX('G-6 Hedgerow Data'!$BJ$3:$BJ$15,MATCH(M17,'G-6 Hedgerow Data'!$B$3:$B$15,0)),"")</f>
        <v/>
      </c>
    </row>
    <row r="18" spans="2:46" ht="14.25" x14ac:dyDescent="0.2">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c r="N18" s="497" t="str">
        <f>IFERROR(IF(B18="","",INDEX('G-6 Hedgerow Data'!$AN$3:$AZ$15,MATCH(C18,'G-6 Hedgerow Data'!$AM$3:$AM$15,0),MATCH(M18,'G-6 Hedgerow Data'!$AN$2:$AZ$2,0))),"")</f>
        <v/>
      </c>
      <c r="O18" s="498" t="str">
        <f t="shared" si="1"/>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2"/>
        <v/>
      </c>
      <c r="AB18" s="520" t="str">
        <f t="shared" si="3"/>
        <v/>
      </c>
      <c r="AC18" s="521" t="str">
        <f t="shared" si="0"/>
        <v/>
      </c>
      <c r="AD18" s="536" t="str">
        <f>IF(M18="","",VLOOKUP(M18,'G-6 Hedgerow Data'!$B$3:$AG$15,31,FALSE))</f>
        <v/>
      </c>
      <c r="AE18" s="506" t="str">
        <f t="shared" si="4"/>
        <v/>
      </c>
      <c r="AF18" s="506" t="str">
        <f t="shared" si="5"/>
        <v/>
      </c>
      <c r="AG18" s="523" t="str">
        <f>IFERROR(IF(O18="","",VLOOKUP(AD18,'G-3 Multipliers'!$P$3:$Q$6,2,FALSE)),"")</f>
        <v/>
      </c>
      <c r="AH18" s="512" t="str">
        <f t="shared" si="6"/>
        <v/>
      </c>
      <c r="AI18" s="230"/>
      <c r="AJ18" s="150"/>
      <c r="AT18" s="31" t="str">
        <f>IFERROR(INDEX('G-6 Hedgerow Data'!$BJ$3:$BJ$15,MATCH(M18,'G-6 Hedgerow Data'!$B$3:$B$15,0)),"")</f>
        <v/>
      </c>
    </row>
    <row r="19" spans="2:46" ht="14.25" x14ac:dyDescent="0.2">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1"/>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2"/>
        <v/>
      </c>
      <c r="AB19" s="520" t="str">
        <f t="shared" si="3"/>
        <v/>
      </c>
      <c r="AC19" s="521" t="str">
        <f t="shared" si="0"/>
        <v/>
      </c>
      <c r="AD19" s="536" t="str">
        <f>IF(M19="","",VLOOKUP(M19,'G-6 Hedgerow Data'!$B$3:$AG$15,31,FALSE))</f>
        <v/>
      </c>
      <c r="AE19" s="506" t="str">
        <f t="shared" si="4"/>
        <v/>
      </c>
      <c r="AF19" s="506" t="str">
        <f t="shared" si="5"/>
        <v/>
      </c>
      <c r="AG19" s="523" t="str">
        <f>IFERROR(IF(O19="","",VLOOKUP(AD19,'G-3 Multipliers'!$P$3:$Q$6,2,FALSE)),"")</f>
        <v/>
      </c>
      <c r="AH19" s="512" t="str">
        <f t="shared" si="6"/>
        <v/>
      </c>
      <c r="AI19" s="230"/>
      <c r="AJ19" s="150"/>
      <c r="AT19" s="31" t="str">
        <f>IFERROR(INDEX('G-6 Hedgerow Data'!$BJ$3:$BJ$15,MATCH(M19,'G-6 Hedgerow Data'!$B$3:$B$15,0)),"")</f>
        <v/>
      </c>
    </row>
    <row r="20" spans="2:46" ht="14.25" x14ac:dyDescent="0.2">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1"/>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2"/>
        <v/>
      </c>
      <c r="AB20" s="520" t="str">
        <f t="shared" si="3"/>
        <v/>
      </c>
      <c r="AC20" s="521" t="str">
        <f t="shared" si="0"/>
        <v/>
      </c>
      <c r="AD20" s="536" t="str">
        <f>IF(M20="","",VLOOKUP(M20,'G-6 Hedgerow Data'!$B$3:$AG$15,31,FALSE))</f>
        <v/>
      </c>
      <c r="AE20" s="506" t="str">
        <f t="shared" si="4"/>
        <v/>
      </c>
      <c r="AF20" s="506" t="str">
        <f t="shared" si="5"/>
        <v/>
      </c>
      <c r="AG20" s="523" t="str">
        <f>IFERROR(IF(O20="","",VLOOKUP(AD20,'G-3 Multipliers'!$P$3:$Q$6,2,FALSE)),"")</f>
        <v/>
      </c>
      <c r="AH20" s="512" t="str">
        <f t="shared" si="6"/>
        <v/>
      </c>
      <c r="AI20" s="230"/>
      <c r="AJ20" s="150"/>
      <c r="AT20" s="31" t="str">
        <f>IFERROR(INDEX('G-6 Hedgerow Data'!$BJ$3:$BJ$15,MATCH(M20,'G-6 Hedgerow Data'!$B$3:$B$15,0)),"")</f>
        <v/>
      </c>
    </row>
    <row r="21" spans="2:46" ht="14.25" x14ac:dyDescent="0.2">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1"/>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2"/>
        <v/>
      </c>
      <c r="AB21" s="520" t="str">
        <f t="shared" si="3"/>
        <v/>
      </c>
      <c r="AC21" s="521" t="str">
        <f t="shared" si="0"/>
        <v/>
      </c>
      <c r="AD21" s="536" t="str">
        <f>IF(M21="","",VLOOKUP(M21,'G-6 Hedgerow Data'!$B$3:$AG$15,31,FALSE))</f>
        <v/>
      </c>
      <c r="AE21" s="506" t="str">
        <f t="shared" si="4"/>
        <v/>
      </c>
      <c r="AF21" s="506" t="str">
        <f t="shared" si="5"/>
        <v/>
      </c>
      <c r="AG21" s="523" t="str">
        <f>IFERROR(IF(O21="","",VLOOKUP(AD21,'G-3 Multipliers'!$P$3:$Q$6,2,FALSE)),"")</f>
        <v/>
      </c>
      <c r="AH21" s="512" t="str">
        <f t="shared" si="6"/>
        <v/>
      </c>
      <c r="AI21" s="230"/>
      <c r="AJ21" s="150"/>
      <c r="AT21" s="31" t="str">
        <f>IFERROR(INDEX('G-6 Hedgerow Data'!$BJ$3:$BJ$15,MATCH(M21,'G-6 Hedgerow Data'!$B$3:$B$15,0)),"")</f>
        <v/>
      </c>
    </row>
    <row r="22" spans="2:46" ht="14.25" x14ac:dyDescent="0.2">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1"/>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2"/>
        <v/>
      </c>
      <c r="AB22" s="520" t="str">
        <f t="shared" si="3"/>
        <v/>
      </c>
      <c r="AC22" s="521" t="str">
        <f t="shared" si="0"/>
        <v/>
      </c>
      <c r="AD22" s="536" t="str">
        <f>IF(M22="","",VLOOKUP(M22,'G-6 Hedgerow Data'!$B$3:$AG$15,31,FALSE))</f>
        <v/>
      </c>
      <c r="AE22" s="506" t="str">
        <f t="shared" si="4"/>
        <v/>
      </c>
      <c r="AF22" s="506" t="str">
        <f t="shared" si="5"/>
        <v/>
      </c>
      <c r="AG22" s="523" t="str">
        <f>IFERROR(IF(O22="","",VLOOKUP(AD22,'G-3 Multipliers'!$P$3:$Q$6,2,FALSE)),"")</f>
        <v/>
      </c>
      <c r="AH22" s="512" t="str">
        <f t="shared" si="6"/>
        <v/>
      </c>
      <c r="AI22" s="230"/>
      <c r="AJ22" s="150"/>
      <c r="AT22" s="31" t="str">
        <f>IFERROR(INDEX('G-6 Hedgerow Data'!$BJ$3:$BJ$15,MATCH(M22,'G-6 Hedgerow Data'!$B$3:$B$15,0)),"")</f>
        <v/>
      </c>
    </row>
    <row r="23" spans="2:46" ht="14.25" x14ac:dyDescent="0.2">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1"/>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2"/>
        <v/>
      </c>
      <c r="AB23" s="520" t="str">
        <f t="shared" si="3"/>
        <v/>
      </c>
      <c r="AC23" s="521" t="str">
        <f t="shared" si="0"/>
        <v/>
      </c>
      <c r="AD23" s="536" t="str">
        <f>IF(M23="","",VLOOKUP(M23,'G-6 Hedgerow Data'!$B$3:$AG$15,31,FALSE))</f>
        <v/>
      </c>
      <c r="AE23" s="506" t="str">
        <f t="shared" si="4"/>
        <v/>
      </c>
      <c r="AF23" s="506" t="str">
        <f t="shared" si="5"/>
        <v/>
      </c>
      <c r="AG23" s="523" t="str">
        <f>IFERROR(IF(O23="","",VLOOKUP(AD23,'G-3 Multipliers'!$P$3:$Q$6,2,FALSE)),"")</f>
        <v/>
      </c>
      <c r="AH23" s="512" t="str">
        <f t="shared" si="6"/>
        <v/>
      </c>
      <c r="AI23" s="230"/>
      <c r="AJ23" s="150"/>
      <c r="AT23" s="31" t="str">
        <f>IFERROR(INDEX('G-6 Hedgerow Data'!$BJ$3:$BJ$15,MATCH(M23,'G-6 Hedgerow Data'!$B$3:$B$15,0)),"")</f>
        <v/>
      </c>
    </row>
    <row r="24" spans="2:46" ht="14.25" x14ac:dyDescent="0.2">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1"/>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2"/>
        <v/>
      </c>
      <c r="AB24" s="520" t="str">
        <f t="shared" si="3"/>
        <v/>
      </c>
      <c r="AC24" s="521" t="str">
        <f t="shared" si="0"/>
        <v/>
      </c>
      <c r="AD24" s="536" t="str">
        <f>IF(M24="","",VLOOKUP(M24,'G-6 Hedgerow Data'!$B$3:$AG$15,31,FALSE))</f>
        <v/>
      </c>
      <c r="AE24" s="506" t="str">
        <f t="shared" si="4"/>
        <v/>
      </c>
      <c r="AF24" s="506" t="str">
        <f t="shared" si="5"/>
        <v/>
      </c>
      <c r="AG24" s="523" t="str">
        <f>IFERROR(IF(O24="","",VLOOKUP(AD24,'G-3 Multipliers'!$P$3:$Q$6,2,FALSE)),"")</f>
        <v/>
      </c>
      <c r="AH24" s="512" t="str">
        <f t="shared" si="6"/>
        <v/>
      </c>
      <c r="AI24" s="230"/>
      <c r="AJ24" s="150"/>
      <c r="AT24" s="31" t="str">
        <f>IFERROR(INDEX('G-6 Hedgerow Data'!$BJ$3:$BJ$15,MATCH(M24,'G-6 Hedgerow Data'!$B$3:$B$15,0)),"")</f>
        <v/>
      </c>
    </row>
    <row r="25" spans="2:46" ht="14.25" x14ac:dyDescent="0.2">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1"/>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2"/>
        <v/>
      </c>
      <c r="AB25" s="520" t="str">
        <f t="shared" si="3"/>
        <v/>
      </c>
      <c r="AC25" s="521" t="str">
        <f t="shared" si="0"/>
        <v/>
      </c>
      <c r="AD25" s="536" t="str">
        <f>IF(M25="","",VLOOKUP(M25,'G-6 Hedgerow Data'!$B$3:$AG$15,31,FALSE))</f>
        <v/>
      </c>
      <c r="AE25" s="506" t="str">
        <f t="shared" si="4"/>
        <v/>
      </c>
      <c r="AF25" s="506" t="str">
        <f t="shared" si="5"/>
        <v/>
      </c>
      <c r="AG25" s="523" t="str">
        <f>IFERROR(IF(O25="","",VLOOKUP(AD25,'G-3 Multipliers'!$P$3:$Q$6,2,FALSE)),"")</f>
        <v/>
      </c>
      <c r="AH25" s="512" t="str">
        <f t="shared" si="6"/>
        <v/>
      </c>
      <c r="AI25" s="230"/>
      <c r="AJ25" s="150"/>
      <c r="AT25" s="31" t="str">
        <f>IFERROR(INDEX('G-6 Hedgerow Data'!$BJ$3:$BJ$15,MATCH(M25,'G-6 Hedgerow Data'!$B$3:$B$15,0)),"")</f>
        <v/>
      </c>
    </row>
    <row r="26" spans="2:46" ht="14.25" x14ac:dyDescent="0.2">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1"/>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2"/>
        <v/>
      </c>
      <c r="AB26" s="520" t="str">
        <f t="shared" si="3"/>
        <v/>
      </c>
      <c r="AC26" s="521" t="str">
        <f t="shared" si="0"/>
        <v/>
      </c>
      <c r="AD26" s="536" t="str">
        <f>IF(M26="","",VLOOKUP(M26,'G-6 Hedgerow Data'!$B$3:$AG$15,31,FALSE))</f>
        <v/>
      </c>
      <c r="AE26" s="506" t="str">
        <f t="shared" si="4"/>
        <v/>
      </c>
      <c r="AF26" s="506" t="str">
        <f t="shared" si="5"/>
        <v/>
      </c>
      <c r="AG26" s="523" t="str">
        <f>IFERROR(IF(O26="","",VLOOKUP(AD26,'G-3 Multipliers'!$P$3:$Q$6,2,FALSE)),"")</f>
        <v/>
      </c>
      <c r="AH26" s="512" t="str">
        <f t="shared" si="6"/>
        <v/>
      </c>
      <c r="AI26" s="230"/>
      <c r="AJ26" s="150"/>
      <c r="AT26" s="31" t="str">
        <f>IFERROR(INDEX('G-6 Hedgerow Data'!$BJ$3:$BJ$15,MATCH(M26,'G-6 Hedgerow Data'!$B$3:$B$15,0)),"")</f>
        <v/>
      </c>
    </row>
    <row r="27" spans="2:46" ht="14.25" x14ac:dyDescent="0.2">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1"/>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2"/>
        <v/>
      </c>
      <c r="AB27" s="520" t="str">
        <f t="shared" si="3"/>
        <v/>
      </c>
      <c r="AC27" s="521" t="str">
        <f t="shared" si="0"/>
        <v/>
      </c>
      <c r="AD27" s="536" t="str">
        <f>IF(M27="","",VLOOKUP(M27,'G-6 Hedgerow Data'!$B$3:$AG$15,31,FALSE))</f>
        <v/>
      </c>
      <c r="AE27" s="506" t="str">
        <f t="shared" si="4"/>
        <v/>
      </c>
      <c r="AF27" s="506" t="str">
        <f t="shared" si="5"/>
        <v/>
      </c>
      <c r="AG27" s="523" t="str">
        <f>IFERROR(IF(O27="","",VLOOKUP(AD27,'G-3 Multipliers'!$P$3:$Q$6,2,FALSE)),"")</f>
        <v/>
      </c>
      <c r="AH27" s="512" t="str">
        <f t="shared" si="6"/>
        <v/>
      </c>
      <c r="AI27" s="230"/>
      <c r="AJ27" s="150"/>
      <c r="AT27" s="31" t="str">
        <f>IFERROR(INDEX('G-6 Hedgerow Data'!$BJ$3:$BJ$15,MATCH(M27,'G-6 Hedgerow Data'!$B$3:$B$15,0)),"")</f>
        <v/>
      </c>
    </row>
    <row r="28" spans="2:46" ht="14.25" x14ac:dyDescent="0.2">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1"/>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2"/>
        <v/>
      </c>
      <c r="AB28" s="520" t="str">
        <f t="shared" si="3"/>
        <v/>
      </c>
      <c r="AC28" s="521" t="str">
        <f t="shared" si="0"/>
        <v/>
      </c>
      <c r="AD28" s="536" t="str">
        <f>IF(M28="","",VLOOKUP(M28,'G-6 Hedgerow Data'!$B$3:$AG$15,31,FALSE))</f>
        <v/>
      </c>
      <c r="AE28" s="506" t="str">
        <f t="shared" si="4"/>
        <v/>
      </c>
      <c r="AF28" s="506" t="str">
        <f t="shared" si="5"/>
        <v/>
      </c>
      <c r="AG28" s="523" t="str">
        <f>IFERROR(IF(O28="","",VLOOKUP(AD28,'G-3 Multipliers'!$P$3:$Q$6,2,FALSE)),"")</f>
        <v/>
      </c>
      <c r="AH28" s="512" t="str">
        <f t="shared" si="6"/>
        <v/>
      </c>
      <c r="AI28" s="230"/>
      <c r="AJ28" s="150"/>
      <c r="AT28" s="31" t="str">
        <f>IFERROR(INDEX('G-6 Hedgerow Data'!$BJ$3:$BJ$15,MATCH(M28,'G-6 Hedgerow Data'!$B$3:$B$15,0)),"")</f>
        <v/>
      </c>
    </row>
    <row r="29" spans="2:46" ht="14.25" x14ac:dyDescent="0.2">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1"/>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2"/>
        <v/>
      </c>
      <c r="AB29" s="520" t="str">
        <f t="shared" si="3"/>
        <v/>
      </c>
      <c r="AC29" s="521" t="str">
        <f t="shared" si="0"/>
        <v/>
      </c>
      <c r="AD29" s="536" t="str">
        <f>IF(M29="","",VLOOKUP(M29,'G-6 Hedgerow Data'!$B$3:$AG$15,31,FALSE))</f>
        <v/>
      </c>
      <c r="AE29" s="506" t="str">
        <f t="shared" si="4"/>
        <v/>
      </c>
      <c r="AF29" s="506" t="str">
        <f t="shared" si="5"/>
        <v/>
      </c>
      <c r="AG29" s="523" t="str">
        <f>IFERROR(IF(O29="","",VLOOKUP(AD29,'G-3 Multipliers'!$P$3:$Q$6,2,FALSE)),"")</f>
        <v/>
      </c>
      <c r="AH29" s="512" t="str">
        <f t="shared" si="6"/>
        <v/>
      </c>
      <c r="AI29" s="230"/>
      <c r="AJ29" s="150"/>
      <c r="AT29" s="31" t="str">
        <f>IFERROR(INDEX('G-6 Hedgerow Data'!$BJ$3:$BJ$15,MATCH(M29,'G-6 Hedgerow Data'!$B$3:$B$15,0)),"")</f>
        <v/>
      </c>
    </row>
    <row r="30" spans="2:46" ht="14.25" x14ac:dyDescent="0.2">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1"/>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2"/>
        <v/>
      </c>
      <c r="AB30" s="520" t="str">
        <f t="shared" si="3"/>
        <v/>
      </c>
      <c r="AC30" s="521" t="str">
        <f t="shared" si="0"/>
        <v/>
      </c>
      <c r="AD30" s="536" t="str">
        <f>IF(M30="","",VLOOKUP(M30,'G-6 Hedgerow Data'!$B$3:$AG$15,31,FALSE))</f>
        <v/>
      </c>
      <c r="AE30" s="506" t="str">
        <f t="shared" si="4"/>
        <v/>
      </c>
      <c r="AF30" s="506" t="str">
        <f t="shared" si="5"/>
        <v/>
      </c>
      <c r="AG30" s="523" t="str">
        <f>IFERROR(IF(O30="","",VLOOKUP(AD30,'G-3 Multipliers'!$P$3:$Q$6,2,FALSE)),"")</f>
        <v/>
      </c>
      <c r="AH30" s="512" t="str">
        <f t="shared" si="6"/>
        <v/>
      </c>
      <c r="AI30" s="230"/>
      <c r="AJ30" s="150"/>
      <c r="AT30" s="31" t="str">
        <f>IFERROR(INDEX('G-6 Hedgerow Data'!$BJ$3:$BJ$15,MATCH(M30,'G-6 Hedgerow Data'!$B$3:$B$15,0)),"")</f>
        <v/>
      </c>
    </row>
    <row r="31" spans="2:46" ht="14.25" x14ac:dyDescent="0.2">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1"/>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2"/>
        <v/>
      </c>
      <c r="AB31" s="520" t="str">
        <f t="shared" si="3"/>
        <v/>
      </c>
      <c r="AC31" s="521" t="str">
        <f t="shared" si="0"/>
        <v/>
      </c>
      <c r="AD31" s="536" t="str">
        <f>IF(M31="","",VLOOKUP(M31,'G-6 Hedgerow Data'!$B$3:$AG$15,31,FALSE))</f>
        <v/>
      </c>
      <c r="AE31" s="506" t="str">
        <f t="shared" si="4"/>
        <v/>
      </c>
      <c r="AF31" s="506" t="str">
        <f t="shared" si="5"/>
        <v/>
      </c>
      <c r="AG31" s="523" t="str">
        <f>IFERROR(IF(O31="","",VLOOKUP(AD31,'G-3 Multipliers'!$P$3:$Q$6,2,FALSE)),"")</f>
        <v/>
      </c>
      <c r="AH31" s="512" t="str">
        <f t="shared" si="6"/>
        <v/>
      </c>
      <c r="AI31" s="230"/>
      <c r="AJ31" s="150"/>
      <c r="AT31" s="31" t="str">
        <f>IFERROR(INDEX('G-6 Hedgerow Data'!$BJ$3:$BJ$15,MATCH(M31,'G-6 Hedgerow Data'!$B$3:$B$15,0)),"")</f>
        <v/>
      </c>
    </row>
    <row r="32" spans="2:46" ht="14.25" x14ac:dyDescent="0.2">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c r="N32" s="497" t="str">
        <f>IFERROR(IF(B32="","",INDEX('G-6 Hedgerow Data'!$AN$3:$AZ$15,MATCH(C32,'G-6 Hedgerow Data'!$AM$3:$AM$15,0),MATCH(M32,'G-6 Hedgerow Data'!$AN$2:$AZ$2,0))),"")</f>
        <v/>
      </c>
      <c r="O32" s="498" t="str">
        <f t="shared" si="1"/>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2"/>
        <v/>
      </c>
      <c r="AB32" s="520" t="str">
        <f t="shared" si="3"/>
        <v/>
      </c>
      <c r="AC32" s="521" t="str">
        <f t="shared" si="0"/>
        <v/>
      </c>
      <c r="AD32" s="536" t="str">
        <f>IF(M32="","",VLOOKUP(M32,'G-6 Hedgerow Data'!$B$3:$AG$15,31,FALSE))</f>
        <v/>
      </c>
      <c r="AE32" s="506" t="str">
        <f t="shared" si="4"/>
        <v/>
      </c>
      <c r="AF32" s="506" t="str">
        <f t="shared" si="5"/>
        <v/>
      </c>
      <c r="AG32" s="523" t="str">
        <f>IFERROR(IF(O32="","",VLOOKUP(AD32,'G-3 Multipliers'!$P$3:$Q$6,2,FALSE)),"")</f>
        <v/>
      </c>
      <c r="AH32" s="512" t="str">
        <f t="shared" si="6"/>
        <v/>
      </c>
      <c r="AI32" s="230"/>
      <c r="AJ32" s="150"/>
      <c r="AT32" s="31" t="str">
        <f>IFERROR(INDEX('G-6 Hedgerow Data'!$BJ$3:$BJ$15,MATCH(M32,'G-6 Hedgerow Data'!$B$3:$B$15,0)),"")</f>
        <v/>
      </c>
    </row>
    <row r="33" spans="2:46" ht="14.25" x14ac:dyDescent="0.2">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c r="N33" s="497" t="str">
        <f>IFERROR(IF(B33="","",INDEX('G-6 Hedgerow Data'!$AN$3:$AZ$15,MATCH(C33,'G-6 Hedgerow Data'!$AM$3:$AM$15,0),MATCH(M33,'G-6 Hedgerow Data'!$AN$2:$AZ$2,0))),"")</f>
        <v/>
      </c>
      <c r="O33" s="498" t="str">
        <f t="shared" si="1"/>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2"/>
        <v/>
      </c>
      <c r="AB33" s="520" t="str">
        <f t="shared" si="3"/>
        <v/>
      </c>
      <c r="AC33" s="521" t="str">
        <f t="shared" si="0"/>
        <v/>
      </c>
      <c r="AD33" s="536" t="str">
        <f>IF(M33="","",VLOOKUP(M33,'G-6 Hedgerow Data'!$B$3:$AG$15,31,FALSE))</f>
        <v/>
      </c>
      <c r="AE33" s="506" t="str">
        <f t="shared" si="4"/>
        <v/>
      </c>
      <c r="AF33" s="506" t="str">
        <f t="shared" si="5"/>
        <v/>
      </c>
      <c r="AG33" s="523" t="str">
        <f>IFERROR(IF(O33="","",VLOOKUP(AD33,'G-3 Multipliers'!$P$3:$Q$6,2,FALSE)),"")</f>
        <v/>
      </c>
      <c r="AH33" s="512" t="str">
        <f t="shared" si="6"/>
        <v/>
      </c>
      <c r="AI33" s="230"/>
      <c r="AJ33" s="150"/>
      <c r="AT33" s="31" t="str">
        <f>IFERROR(INDEX('G-6 Hedgerow Data'!$BJ$3:$BJ$15,MATCH(M33,'G-6 Hedgerow Data'!$B$3:$B$15,0)),"")</f>
        <v/>
      </c>
    </row>
    <row r="34" spans="2:46" ht="14.25" x14ac:dyDescent="0.2">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c r="N34" s="497" t="str">
        <f>IFERROR(IF(B34="","",INDEX('G-6 Hedgerow Data'!$AN$3:$AZ$15,MATCH(C34,'G-6 Hedgerow Data'!$AM$3:$AM$15,0),MATCH(M34,'G-6 Hedgerow Data'!$AN$2:$AZ$2,0))),"")</f>
        <v/>
      </c>
      <c r="O34" s="498" t="str">
        <f t="shared" si="1"/>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2"/>
        <v/>
      </c>
      <c r="AB34" s="520" t="str">
        <f t="shared" si="3"/>
        <v/>
      </c>
      <c r="AC34" s="521" t="str">
        <f t="shared" si="0"/>
        <v/>
      </c>
      <c r="AD34" s="536" t="str">
        <f>IF(M34="","",VLOOKUP(M34,'G-6 Hedgerow Data'!$B$3:$AG$15,31,FALSE))</f>
        <v/>
      </c>
      <c r="AE34" s="506" t="str">
        <f t="shared" si="4"/>
        <v/>
      </c>
      <c r="AF34" s="506" t="str">
        <f t="shared" si="5"/>
        <v/>
      </c>
      <c r="AG34" s="523" t="str">
        <f>IFERROR(IF(O34="","",VLOOKUP(AD34,'G-3 Multipliers'!$P$3:$Q$6,2,FALSE)),"")</f>
        <v/>
      </c>
      <c r="AH34" s="512" t="str">
        <f t="shared" si="6"/>
        <v/>
      </c>
      <c r="AI34" s="230"/>
      <c r="AJ34" s="150"/>
      <c r="AT34" s="31" t="str">
        <f>IFERROR(INDEX('G-6 Hedgerow Data'!$BJ$3:$BJ$15,MATCH(M34,'G-6 Hedgerow Data'!$B$3:$B$15,0)),"")</f>
        <v/>
      </c>
    </row>
    <row r="35" spans="2:46" ht="14.25" x14ac:dyDescent="0.2">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c r="N35" s="497" t="str">
        <f>IFERROR(IF(B35="","",INDEX('G-6 Hedgerow Data'!$AN$3:$AZ$15,MATCH(C35,'G-6 Hedgerow Data'!$AM$3:$AM$15,0),MATCH(M35,'G-6 Hedgerow Data'!$AN$2:$AZ$2,0))),"")</f>
        <v/>
      </c>
      <c r="O35" s="498" t="str">
        <f t="shared" si="1"/>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2"/>
        <v/>
      </c>
      <c r="AB35" s="520" t="str">
        <f t="shared" si="3"/>
        <v/>
      </c>
      <c r="AC35" s="521" t="str">
        <f t="shared" si="0"/>
        <v/>
      </c>
      <c r="AD35" s="536" t="str">
        <f>IF(M35="","",VLOOKUP(M35,'G-6 Hedgerow Data'!$B$3:$AG$15,31,FALSE))</f>
        <v/>
      </c>
      <c r="AE35" s="506" t="str">
        <f t="shared" si="4"/>
        <v/>
      </c>
      <c r="AF35" s="506" t="str">
        <f t="shared" si="5"/>
        <v/>
      </c>
      <c r="AG35" s="523" t="str">
        <f>IFERROR(IF(O35="","",VLOOKUP(AD35,'G-3 Multipliers'!$P$3:$Q$6,2,FALSE)),"")</f>
        <v/>
      </c>
      <c r="AH35" s="512" t="str">
        <f t="shared" si="6"/>
        <v/>
      </c>
      <c r="AI35" s="230"/>
      <c r="AJ35" s="150"/>
      <c r="AT35" s="31" t="str">
        <f>IFERROR(INDEX('G-6 Hedgerow Data'!$BJ$3:$BJ$15,MATCH(M35,'G-6 Hedgerow Data'!$B$3:$B$15,0)),"")</f>
        <v/>
      </c>
    </row>
    <row r="36" spans="2:46" ht="14.25" x14ac:dyDescent="0.2">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c r="N36" s="497" t="str">
        <f>IFERROR(IF(B36="","",INDEX('G-6 Hedgerow Data'!$AN$3:$AZ$15,MATCH(C36,'G-6 Hedgerow Data'!$AM$3:$AM$15,0),MATCH(M36,'G-6 Hedgerow Data'!$AN$2:$AZ$2,0))),"")</f>
        <v/>
      </c>
      <c r="O36" s="498" t="str">
        <f t="shared" si="1"/>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2"/>
        <v/>
      </c>
      <c r="AB36" s="520" t="str">
        <f t="shared" si="3"/>
        <v/>
      </c>
      <c r="AC36" s="521" t="str">
        <f t="shared" si="0"/>
        <v/>
      </c>
      <c r="AD36" s="536" t="str">
        <f>IF(M36="","",VLOOKUP(M36,'G-6 Hedgerow Data'!$B$3:$AG$15,31,FALSE))</f>
        <v/>
      </c>
      <c r="AE36" s="506" t="str">
        <f t="shared" si="4"/>
        <v/>
      </c>
      <c r="AF36" s="506" t="str">
        <f t="shared" si="5"/>
        <v/>
      </c>
      <c r="AG36" s="523" t="str">
        <f>IFERROR(IF(O36="","",VLOOKUP(AD36,'G-3 Multipliers'!$P$3:$Q$6,2,FALSE)),"")</f>
        <v/>
      </c>
      <c r="AH36" s="512" t="str">
        <f t="shared" si="6"/>
        <v/>
      </c>
      <c r="AI36" s="230"/>
      <c r="AJ36" s="150"/>
      <c r="AT36" s="31" t="str">
        <f>IFERROR(INDEX('G-6 Hedgerow Data'!$BJ$3:$BJ$15,MATCH(M36,'G-6 Hedgerow Data'!$B$3:$B$15,0)),"")</f>
        <v/>
      </c>
    </row>
    <row r="37" spans="2:46" ht="14.25" x14ac:dyDescent="0.2">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c r="N37" s="497" t="str">
        <f>IFERROR(IF(B37="","",INDEX('G-6 Hedgerow Data'!$AN$3:$AZ$15,MATCH(C37,'G-6 Hedgerow Data'!$AM$3:$AM$15,0),MATCH(M37,'G-6 Hedgerow Data'!$AN$2:$AZ$2,0))),"")</f>
        <v/>
      </c>
      <c r="O37" s="498" t="str">
        <f t="shared" si="1"/>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2"/>
        <v/>
      </c>
      <c r="AB37" s="520" t="str">
        <f t="shared" si="3"/>
        <v/>
      </c>
      <c r="AC37" s="521" t="str">
        <f t="shared" si="0"/>
        <v/>
      </c>
      <c r="AD37" s="536" t="str">
        <f>IF(M37="","",VLOOKUP(M37,'G-6 Hedgerow Data'!$B$3:$AG$15,31,FALSE))</f>
        <v/>
      </c>
      <c r="AE37" s="506" t="str">
        <f t="shared" si="4"/>
        <v/>
      </c>
      <c r="AF37" s="506" t="str">
        <f t="shared" si="5"/>
        <v/>
      </c>
      <c r="AG37" s="523" t="str">
        <f>IFERROR(IF(O37="","",VLOOKUP(AD37,'G-3 Multipliers'!$P$3:$Q$6,2,FALSE)),"")</f>
        <v/>
      </c>
      <c r="AH37" s="512" t="str">
        <f t="shared" si="6"/>
        <v/>
      </c>
      <c r="AI37" s="230"/>
      <c r="AJ37" s="150"/>
      <c r="AT37" s="31" t="str">
        <f>IFERROR(INDEX('G-6 Hedgerow Data'!$BJ$3:$BJ$15,MATCH(M37,'G-6 Hedgerow Data'!$B$3:$B$15,0)),"")</f>
        <v/>
      </c>
    </row>
    <row r="38" spans="2:46" ht="14.25" x14ac:dyDescent="0.2">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c r="N38" s="497" t="str">
        <f>IFERROR(IF(B38="","",INDEX('G-6 Hedgerow Data'!$AN$3:$AZ$15,MATCH(C38,'G-6 Hedgerow Data'!$AM$3:$AM$15,0),MATCH(M38,'G-6 Hedgerow Data'!$AN$2:$AZ$2,0))),"")</f>
        <v/>
      </c>
      <c r="O38" s="498" t="str">
        <f t="shared" si="1"/>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2"/>
        <v/>
      </c>
      <c r="AB38" s="520" t="str">
        <f t="shared" si="3"/>
        <v/>
      </c>
      <c r="AC38" s="521" t="str">
        <f t="shared" si="0"/>
        <v/>
      </c>
      <c r="AD38" s="536" t="str">
        <f>IF(M38="","",VLOOKUP(M38,'G-6 Hedgerow Data'!$B$3:$AG$15,31,FALSE))</f>
        <v/>
      </c>
      <c r="AE38" s="506" t="str">
        <f t="shared" si="4"/>
        <v/>
      </c>
      <c r="AF38" s="506" t="str">
        <f t="shared" si="5"/>
        <v/>
      </c>
      <c r="AG38" s="523" t="str">
        <f>IFERROR(IF(O38="","",VLOOKUP(AD38,'G-3 Multipliers'!$P$3:$Q$6,2,FALSE)),"")</f>
        <v/>
      </c>
      <c r="AH38" s="512" t="str">
        <f t="shared" si="6"/>
        <v/>
      </c>
      <c r="AI38" s="230"/>
      <c r="AJ38" s="150"/>
      <c r="AT38" s="31" t="str">
        <f>IFERROR(INDEX('G-6 Hedgerow Data'!$BJ$3:$BJ$15,MATCH(M38,'G-6 Hedgerow Data'!$B$3:$B$15,0)),"")</f>
        <v/>
      </c>
    </row>
    <row r="39" spans="2:46" ht="14.25" x14ac:dyDescent="0.2">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c r="N39" s="497" t="str">
        <f>IFERROR(IF(B39="","",INDEX('G-6 Hedgerow Data'!$AN$3:$AZ$15,MATCH(C39,'G-6 Hedgerow Data'!$AM$3:$AM$15,0),MATCH(M39,'G-6 Hedgerow Data'!$AN$2:$AZ$2,0))),"")</f>
        <v/>
      </c>
      <c r="O39" s="498" t="str">
        <f t="shared" si="1"/>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2"/>
        <v/>
      </c>
      <c r="AB39" s="520" t="str">
        <f t="shared" si="3"/>
        <v/>
      </c>
      <c r="AC39" s="521" t="str">
        <f t="shared" si="0"/>
        <v/>
      </c>
      <c r="AD39" s="536" t="str">
        <f>IF(M39="","",VLOOKUP(M39,'G-6 Hedgerow Data'!$B$3:$AG$15,31,FALSE))</f>
        <v/>
      </c>
      <c r="AE39" s="506" t="str">
        <f t="shared" si="4"/>
        <v/>
      </c>
      <c r="AF39" s="506" t="str">
        <f t="shared" si="5"/>
        <v/>
      </c>
      <c r="AG39" s="523" t="str">
        <f>IFERROR(IF(O39="","",VLOOKUP(AD39,'G-3 Multipliers'!$P$3:$Q$6,2,FALSE)),"")</f>
        <v/>
      </c>
      <c r="AH39" s="512" t="str">
        <f t="shared" si="6"/>
        <v/>
      </c>
      <c r="AI39" s="230"/>
      <c r="AJ39" s="150"/>
      <c r="AT39" s="31" t="str">
        <f>IFERROR(INDEX('G-6 Hedgerow Data'!$BJ$3:$BJ$15,MATCH(M39,'G-6 Hedgerow Data'!$B$3:$B$15,0)),"")</f>
        <v/>
      </c>
    </row>
    <row r="40" spans="2:46" ht="14.25" x14ac:dyDescent="0.2">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c r="N40" s="497" t="str">
        <f>IFERROR(IF(B40="","",INDEX('G-6 Hedgerow Data'!$AN$3:$AZ$15,MATCH(C40,'G-6 Hedgerow Data'!$AM$3:$AM$15,0),MATCH(M40,'G-6 Hedgerow Data'!$AN$2:$AZ$2,0))),"")</f>
        <v/>
      </c>
      <c r="O40" s="498" t="str">
        <f t="shared" si="1"/>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2"/>
        <v/>
      </c>
      <c r="AB40" s="520" t="str">
        <f t="shared" si="3"/>
        <v/>
      </c>
      <c r="AC40" s="521" t="str">
        <f t="shared" si="0"/>
        <v/>
      </c>
      <c r="AD40" s="536" t="str">
        <f>IF(M40="","",VLOOKUP(M40,'G-6 Hedgerow Data'!$B$3:$AG$15,31,FALSE))</f>
        <v/>
      </c>
      <c r="AE40" s="506" t="str">
        <f t="shared" si="4"/>
        <v/>
      </c>
      <c r="AF40" s="506" t="str">
        <f t="shared" si="5"/>
        <v/>
      </c>
      <c r="AG40" s="523" t="str">
        <f>IFERROR(IF(O40="","",VLOOKUP(AD40,'G-3 Multipliers'!$P$3:$Q$6,2,FALSE)),"")</f>
        <v/>
      </c>
      <c r="AH40" s="512" t="str">
        <f t="shared" si="6"/>
        <v/>
      </c>
      <c r="AI40" s="230"/>
      <c r="AJ40" s="150"/>
      <c r="AT40" s="31" t="str">
        <f>IFERROR(INDEX('G-6 Hedgerow Data'!$BJ$3:$BJ$15,MATCH(M40,'G-6 Hedgerow Data'!$B$3:$B$15,0)),"")</f>
        <v/>
      </c>
    </row>
    <row r="41" spans="2:46" ht="14.25" x14ac:dyDescent="0.2">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c r="N41" s="497" t="str">
        <f>IFERROR(IF(B41="","",INDEX('G-6 Hedgerow Data'!$AN$3:$AZ$15,MATCH(C41,'G-6 Hedgerow Data'!$AM$3:$AM$15,0),MATCH(M41,'G-6 Hedgerow Data'!$AN$2:$AZ$2,0))),"")</f>
        <v/>
      </c>
      <c r="O41" s="498" t="str">
        <f t="shared" si="1"/>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2"/>
        <v/>
      </c>
      <c r="AB41" s="520" t="str">
        <f t="shared" si="3"/>
        <v/>
      </c>
      <c r="AC41" s="521" t="str">
        <f t="shared" si="0"/>
        <v/>
      </c>
      <c r="AD41" s="536" t="str">
        <f>IF(M41="","",VLOOKUP(M41,'G-6 Hedgerow Data'!$B$3:$AG$15,31,FALSE))</f>
        <v/>
      </c>
      <c r="AE41" s="506" t="str">
        <f t="shared" si="4"/>
        <v/>
      </c>
      <c r="AF41" s="506" t="str">
        <f t="shared" si="5"/>
        <v/>
      </c>
      <c r="AG41" s="523" t="str">
        <f>IFERROR(IF(O41="","",VLOOKUP(AD41,'G-3 Multipliers'!$P$3:$Q$6,2,FALSE)),"")</f>
        <v/>
      </c>
      <c r="AH41" s="512" t="str">
        <f t="shared" si="6"/>
        <v/>
      </c>
      <c r="AI41" s="230"/>
      <c r="AJ41" s="150"/>
      <c r="AT41" s="31" t="str">
        <f>IFERROR(INDEX('G-6 Hedgerow Data'!$BJ$3:$BJ$15,MATCH(M41,'G-6 Hedgerow Data'!$B$3:$B$15,0)),"")</f>
        <v/>
      </c>
    </row>
    <row r="42" spans="2:46" ht="14.25" x14ac:dyDescent="0.2">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c r="N42" s="497" t="str">
        <f>IFERROR(IF(B42="","",INDEX('G-6 Hedgerow Data'!$AN$3:$AZ$15,MATCH(C42,'G-6 Hedgerow Data'!$AM$3:$AM$15,0),MATCH(M42,'G-6 Hedgerow Data'!$AN$2:$AZ$2,0))),"")</f>
        <v/>
      </c>
      <c r="O42" s="498" t="str">
        <f t="shared" si="1"/>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2"/>
        <v/>
      </c>
      <c r="AB42" s="520" t="str">
        <f t="shared" si="3"/>
        <v/>
      </c>
      <c r="AC42" s="521" t="str">
        <f t="shared" si="0"/>
        <v/>
      </c>
      <c r="AD42" s="536" t="str">
        <f>IF(M42="","",VLOOKUP(M42,'G-6 Hedgerow Data'!$B$3:$AG$15,31,FALSE))</f>
        <v/>
      </c>
      <c r="AE42" s="506" t="str">
        <f t="shared" si="4"/>
        <v/>
      </c>
      <c r="AF42" s="506" t="str">
        <f t="shared" si="5"/>
        <v/>
      </c>
      <c r="AG42" s="523" t="str">
        <f>IFERROR(IF(O42="","",VLOOKUP(AD42,'G-3 Multipliers'!$P$3:$Q$6,2,FALSE)),"")</f>
        <v/>
      </c>
      <c r="AH42" s="512" t="str">
        <f t="shared" si="6"/>
        <v/>
      </c>
      <c r="AI42" s="230"/>
      <c r="AJ42" s="150"/>
      <c r="AT42" s="31" t="str">
        <f>IFERROR(INDEX('G-6 Hedgerow Data'!$BJ$3:$BJ$15,MATCH(M42,'G-6 Hedgerow Data'!$B$3:$B$15,0)),"")</f>
        <v/>
      </c>
    </row>
    <row r="43" spans="2:46" ht="14.25" x14ac:dyDescent="0.2">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c r="N43" s="497" t="str">
        <f>IFERROR(IF(B43="","",INDEX('G-6 Hedgerow Data'!$AN$3:$AZ$15,MATCH(C43,'G-6 Hedgerow Data'!$AM$3:$AM$15,0),MATCH(M43,'G-6 Hedgerow Data'!$AN$2:$AZ$2,0))),"")</f>
        <v/>
      </c>
      <c r="O43" s="498" t="str">
        <f t="shared" si="1"/>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2"/>
        <v/>
      </c>
      <c r="AB43" s="520" t="str">
        <f t="shared" si="3"/>
        <v/>
      </c>
      <c r="AC43" s="521" t="str">
        <f t="shared" si="0"/>
        <v/>
      </c>
      <c r="AD43" s="536" t="str">
        <f>IF(M43="","",VLOOKUP(M43,'G-6 Hedgerow Data'!$B$3:$AG$15,31,FALSE))</f>
        <v/>
      </c>
      <c r="AE43" s="506" t="str">
        <f t="shared" si="4"/>
        <v/>
      </c>
      <c r="AF43" s="506" t="str">
        <f t="shared" si="5"/>
        <v/>
      </c>
      <c r="AG43" s="523" t="str">
        <f>IFERROR(IF(O43="","",VLOOKUP(AD43,'G-3 Multipliers'!$P$3:$Q$6,2,FALSE)),"")</f>
        <v/>
      </c>
      <c r="AH43" s="512" t="str">
        <f t="shared" si="6"/>
        <v/>
      </c>
      <c r="AI43" s="230"/>
      <c r="AJ43" s="150"/>
      <c r="AT43" s="31" t="str">
        <f>IFERROR(INDEX('G-6 Hedgerow Data'!$BJ$3:$BJ$15,MATCH(M43,'G-6 Hedgerow Data'!$B$3:$B$15,0)),"")</f>
        <v/>
      </c>
    </row>
    <row r="44" spans="2:46" ht="14.25" x14ac:dyDescent="0.2">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c r="N44" s="497" t="str">
        <f>IFERROR(IF(B44="","",INDEX('G-6 Hedgerow Data'!$AN$3:$AZ$15,MATCH(C44,'G-6 Hedgerow Data'!$AM$3:$AM$15,0),MATCH(M44,'G-6 Hedgerow Data'!$AN$2:$AZ$2,0))),"")</f>
        <v/>
      </c>
      <c r="O44" s="498" t="str">
        <f t="shared" si="1"/>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2"/>
        <v/>
      </c>
      <c r="AB44" s="520" t="str">
        <f t="shared" si="3"/>
        <v/>
      </c>
      <c r="AC44" s="521" t="str">
        <f t="shared" si="0"/>
        <v/>
      </c>
      <c r="AD44" s="536" t="str">
        <f>IF(M44="","",VLOOKUP(M44,'G-6 Hedgerow Data'!$B$3:$AG$15,31,FALSE))</f>
        <v/>
      </c>
      <c r="AE44" s="506" t="str">
        <f t="shared" si="4"/>
        <v/>
      </c>
      <c r="AF44" s="506" t="str">
        <f t="shared" si="5"/>
        <v/>
      </c>
      <c r="AG44" s="523" t="str">
        <f>IFERROR(IF(O44="","",VLOOKUP(AD44,'G-3 Multipliers'!$P$3:$Q$6,2,FALSE)),"")</f>
        <v/>
      </c>
      <c r="AH44" s="512" t="str">
        <f t="shared" si="6"/>
        <v/>
      </c>
      <c r="AI44" s="230"/>
      <c r="AJ44" s="150"/>
      <c r="AT44" s="31" t="str">
        <f>IFERROR(INDEX('G-6 Hedgerow Data'!$BJ$3:$BJ$15,MATCH(M44,'G-6 Hedgerow Data'!$B$3:$B$15,0)),"")</f>
        <v/>
      </c>
    </row>
    <row r="45" spans="2:46" ht="14.25" x14ac:dyDescent="0.2">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c r="N45" s="497" t="str">
        <f>IFERROR(IF(B45="","",INDEX('G-6 Hedgerow Data'!$AN$3:$AZ$15,MATCH(C45,'G-6 Hedgerow Data'!$AM$3:$AM$15,0),MATCH(M45,'G-6 Hedgerow Data'!$AN$2:$AZ$2,0))),"")</f>
        <v/>
      </c>
      <c r="O45" s="498" t="str">
        <f t="shared" si="1"/>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2"/>
        <v/>
      </c>
      <c r="AB45" s="520" t="str">
        <f t="shared" si="3"/>
        <v/>
      </c>
      <c r="AC45" s="521" t="str">
        <f t="shared" si="0"/>
        <v/>
      </c>
      <c r="AD45" s="536" t="str">
        <f>IF(M45="","",VLOOKUP(M45,'G-6 Hedgerow Data'!$B$3:$AG$15,31,FALSE))</f>
        <v/>
      </c>
      <c r="AE45" s="506" t="str">
        <f t="shared" si="4"/>
        <v/>
      </c>
      <c r="AF45" s="506" t="str">
        <f t="shared" si="5"/>
        <v/>
      </c>
      <c r="AG45" s="523" t="str">
        <f>IFERROR(IF(O45="","",VLOOKUP(AD45,'G-3 Multipliers'!$P$3:$Q$6,2,FALSE)),"")</f>
        <v/>
      </c>
      <c r="AH45" s="512" t="str">
        <f t="shared" si="6"/>
        <v/>
      </c>
      <c r="AI45" s="230"/>
      <c r="AJ45" s="150"/>
      <c r="AT45" s="31" t="str">
        <f>IFERROR(INDEX('G-6 Hedgerow Data'!$BJ$3:$BJ$15,MATCH(M45,'G-6 Hedgerow Data'!$B$3:$B$15,0)),"")</f>
        <v/>
      </c>
    </row>
    <row r="46" spans="2:46" ht="14.25" x14ac:dyDescent="0.2">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c r="N46" s="497" t="str">
        <f>IFERROR(IF(B46="","",INDEX('G-6 Hedgerow Data'!$AN$3:$AZ$15,MATCH(C46,'G-6 Hedgerow Data'!$AM$3:$AM$15,0),MATCH(M46,'G-6 Hedgerow Data'!$AN$2:$AZ$2,0))),"")</f>
        <v/>
      </c>
      <c r="O46" s="498" t="str">
        <f t="shared" si="1"/>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2"/>
        <v/>
      </c>
      <c r="AB46" s="520" t="str">
        <f t="shared" si="3"/>
        <v/>
      </c>
      <c r="AC46" s="521" t="str">
        <f t="shared" si="0"/>
        <v/>
      </c>
      <c r="AD46" s="536" t="str">
        <f>IF(M46="","",VLOOKUP(M46,'G-6 Hedgerow Data'!$B$3:$AG$15,31,FALSE))</f>
        <v/>
      </c>
      <c r="AE46" s="506" t="str">
        <f t="shared" si="4"/>
        <v/>
      </c>
      <c r="AF46" s="506" t="str">
        <f t="shared" si="5"/>
        <v/>
      </c>
      <c r="AG46" s="523" t="str">
        <f>IFERROR(IF(O46="","",VLOOKUP(AD46,'G-3 Multipliers'!$P$3:$Q$6,2,FALSE)),"")</f>
        <v/>
      </c>
      <c r="AH46" s="512" t="str">
        <f t="shared" si="6"/>
        <v/>
      </c>
      <c r="AI46" s="230"/>
      <c r="AJ46" s="150"/>
      <c r="AT46" s="31" t="str">
        <f>IFERROR(INDEX('G-6 Hedgerow Data'!$BJ$3:$BJ$15,MATCH(M46,'G-6 Hedgerow Data'!$B$3:$B$15,0)),"")</f>
        <v/>
      </c>
    </row>
    <row r="47" spans="2:46" ht="14.25" x14ac:dyDescent="0.2">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c r="N47" s="497" t="str">
        <f>IFERROR(IF(B47="","",INDEX('G-6 Hedgerow Data'!$AN$3:$AZ$15,MATCH(C47,'G-6 Hedgerow Data'!$AM$3:$AM$15,0),MATCH(M47,'G-6 Hedgerow Data'!$AN$2:$AZ$2,0))),"")</f>
        <v/>
      </c>
      <c r="O47" s="498" t="str">
        <f t="shared" si="1"/>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2"/>
        <v/>
      </c>
      <c r="AB47" s="520" t="str">
        <f t="shared" si="3"/>
        <v/>
      </c>
      <c r="AC47" s="521" t="str">
        <f t="shared" si="0"/>
        <v/>
      </c>
      <c r="AD47" s="536" t="str">
        <f>IF(M47="","",VLOOKUP(M47,'G-6 Hedgerow Data'!$B$3:$AG$15,31,FALSE))</f>
        <v/>
      </c>
      <c r="AE47" s="506" t="str">
        <f t="shared" si="4"/>
        <v/>
      </c>
      <c r="AF47" s="506" t="str">
        <f t="shared" si="5"/>
        <v/>
      </c>
      <c r="AG47" s="523" t="str">
        <f>IFERROR(IF(O47="","",VLOOKUP(AD47,'G-3 Multipliers'!$P$3:$Q$6,2,FALSE)),"")</f>
        <v/>
      </c>
      <c r="AH47" s="512" t="str">
        <f t="shared" si="6"/>
        <v/>
      </c>
      <c r="AI47" s="230"/>
      <c r="AJ47" s="150"/>
      <c r="AT47" s="31" t="str">
        <f>IFERROR(INDEX('G-6 Hedgerow Data'!$BJ$3:$BJ$15,MATCH(M47,'G-6 Hedgerow Data'!$B$3:$B$15,0)),"")</f>
        <v/>
      </c>
    </row>
    <row r="48" spans="2:46" ht="14.25" x14ac:dyDescent="0.2">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c r="N48" s="497" t="str">
        <f>IFERROR(IF(B48="","",INDEX('G-6 Hedgerow Data'!$AN$3:$AZ$15,MATCH(C48,'G-6 Hedgerow Data'!$AM$3:$AM$15,0),MATCH(M48,'G-6 Hedgerow Data'!$AN$2:$AZ$2,0))),"")</f>
        <v/>
      </c>
      <c r="O48" s="498" t="str">
        <f t="shared" si="1"/>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2"/>
        <v/>
      </c>
      <c r="AB48" s="520" t="str">
        <f t="shared" si="3"/>
        <v/>
      </c>
      <c r="AC48" s="521" t="str">
        <f t="shared" si="0"/>
        <v/>
      </c>
      <c r="AD48" s="536" t="str">
        <f>IF(M48="","",VLOOKUP(M48,'G-6 Hedgerow Data'!$B$3:$AG$15,31,FALSE))</f>
        <v/>
      </c>
      <c r="AE48" s="506" t="str">
        <f t="shared" si="4"/>
        <v/>
      </c>
      <c r="AF48" s="506" t="str">
        <f t="shared" si="5"/>
        <v/>
      </c>
      <c r="AG48" s="523" t="str">
        <f>IFERROR(IF(O48="","",VLOOKUP(AD48,'G-3 Multipliers'!$P$3:$Q$6,2,FALSE)),"")</f>
        <v/>
      </c>
      <c r="AH48" s="512" t="str">
        <f t="shared" si="6"/>
        <v/>
      </c>
      <c r="AI48" s="230"/>
      <c r="AJ48" s="150"/>
      <c r="AT48" s="31" t="str">
        <f>IFERROR(INDEX('G-6 Hedgerow Data'!$BJ$3:$BJ$15,MATCH(M48,'G-6 Hedgerow Data'!$B$3:$B$15,0)),"")</f>
        <v/>
      </c>
    </row>
    <row r="49" spans="2:46" ht="14.25" x14ac:dyDescent="0.2">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c r="N49" s="497" t="str">
        <f>IFERROR(IF(B49="","",INDEX('G-6 Hedgerow Data'!$AN$3:$AZ$15,MATCH(C49,'G-6 Hedgerow Data'!$AM$3:$AM$15,0),MATCH(M49,'G-6 Hedgerow Data'!$AN$2:$AZ$2,0))),"")</f>
        <v/>
      </c>
      <c r="O49" s="498" t="str">
        <f t="shared" si="1"/>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2"/>
        <v/>
      </c>
      <c r="AB49" s="520" t="str">
        <f t="shared" si="3"/>
        <v/>
      </c>
      <c r="AC49" s="521" t="str">
        <f t="shared" si="0"/>
        <v/>
      </c>
      <c r="AD49" s="536" t="str">
        <f>IF(M49="","",VLOOKUP(M49,'G-6 Hedgerow Data'!$B$3:$AG$15,31,FALSE))</f>
        <v/>
      </c>
      <c r="AE49" s="506" t="str">
        <f t="shared" si="4"/>
        <v/>
      </c>
      <c r="AF49" s="506" t="str">
        <f t="shared" si="5"/>
        <v/>
      </c>
      <c r="AG49" s="523" t="str">
        <f>IFERROR(IF(O49="","",VLOOKUP(AD49,'G-3 Multipliers'!$P$3:$Q$6,2,FALSE)),"")</f>
        <v/>
      </c>
      <c r="AH49" s="512" t="str">
        <f t="shared" si="6"/>
        <v/>
      </c>
      <c r="AI49" s="230"/>
      <c r="AJ49" s="150"/>
      <c r="AT49" s="31" t="str">
        <f>IFERROR(INDEX('G-6 Hedgerow Data'!$BJ$3:$BJ$15,MATCH(M49,'G-6 Hedgerow Data'!$B$3:$B$15,0)),"")</f>
        <v/>
      </c>
    </row>
    <row r="50" spans="2:46" ht="14.25" x14ac:dyDescent="0.2">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c r="N50" s="497" t="str">
        <f>IFERROR(IF(B50="","",INDEX('G-6 Hedgerow Data'!$AN$3:$AZ$15,MATCH(C50,'G-6 Hedgerow Data'!$AM$3:$AM$15,0),MATCH(M50,'G-6 Hedgerow Data'!$AN$2:$AZ$2,0))),"")</f>
        <v/>
      </c>
      <c r="O50" s="498" t="str">
        <f t="shared" si="1"/>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2"/>
        <v/>
      </c>
      <c r="AB50" s="520" t="str">
        <f t="shared" si="3"/>
        <v/>
      </c>
      <c r="AC50" s="521" t="str">
        <f t="shared" si="0"/>
        <v/>
      </c>
      <c r="AD50" s="536" t="str">
        <f>IF(M50="","",VLOOKUP(M50,'G-6 Hedgerow Data'!$B$3:$AG$15,31,FALSE))</f>
        <v/>
      </c>
      <c r="AE50" s="506" t="str">
        <f t="shared" si="4"/>
        <v/>
      </c>
      <c r="AF50" s="506" t="str">
        <f t="shared" si="5"/>
        <v/>
      </c>
      <c r="AG50" s="523" t="str">
        <f>IFERROR(IF(O50="","",VLOOKUP(AD50,'G-3 Multipliers'!$P$3:$Q$6,2,FALSE)),"")</f>
        <v/>
      </c>
      <c r="AH50" s="512" t="str">
        <f t="shared" si="6"/>
        <v/>
      </c>
      <c r="AI50" s="230"/>
      <c r="AJ50" s="150"/>
      <c r="AT50" s="31" t="str">
        <f>IFERROR(INDEX('G-6 Hedgerow Data'!$BJ$3:$BJ$15,MATCH(M50,'G-6 Hedgerow Data'!$B$3:$B$15,0)),"")</f>
        <v/>
      </c>
    </row>
    <row r="51" spans="2:46" ht="14.25" x14ac:dyDescent="0.2">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c r="N51" s="497" t="str">
        <f>IFERROR(IF(B51="","",INDEX('G-6 Hedgerow Data'!$AN$3:$AZ$15,MATCH(C51,'G-6 Hedgerow Data'!$AM$3:$AM$15,0),MATCH(M51,'G-6 Hedgerow Data'!$AN$2:$AZ$2,0))),"")</f>
        <v/>
      </c>
      <c r="O51" s="498" t="str">
        <f t="shared" si="1"/>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2"/>
        <v/>
      </c>
      <c r="AB51" s="520" t="str">
        <f t="shared" si="3"/>
        <v/>
      </c>
      <c r="AC51" s="521" t="str">
        <f t="shared" si="0"/>
        <v/>
      </c>
      <c r="AD51" s="536" t="str">
        <f>IF(M51="","",VLOOKUP(M51,'G-6 Hedgerow Data'!$B$3:$AG$15,31,FALSE))</f>
        <v/>
      </c>
      <c r="AE51" s="506" t="str">
        <f t="shared" si="4"/>
        <v/>
      </c>
      <c r="AF51" s="506" t="str">
        <f t="shared" si="5"/>
        <v/>
      </c>
      <c r="AG51" s="523" t="str">
        <f>IFERROR(IF(O51="","",VLOOKUP(AD51,'G-3 Multipliers'!$P$3:$Q$6,2,FALSE)),"")</f>
        <v/>
      </c>
      <c r="AH51" s="512" t="str">
        <f t="shared" si="6"/>
        <v/>
      </c>
      <c r="AI51" s="230"/>
      <c r="AJ51" s="150"/>
      <c r="AT51" s="31" t="str">
        <f>IFERROR(INDEX('G-6 Hedgerow Data'!$BJ$3:$BJ$15,MATCH(M51,'G-6 Hedgerow Data'!$B$3:$B$15,0)),"")</f>
        <v/>
      </c>
    </row>
    <row r="52" spans="2:46" ht="14.25" x14ac:dyDescent="0.2">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c r="N52" s="497" t="str">
        <f>IFERROR(IF(B52="","",INDEX('G-6 Hedgerow Data'!$AN$3:$AZ$15,MATCH(C52,'G-6 Hedgerow Data'!$AM$3:$AM$15,0),MATCH(M52,'G-6 Hedgerow Data'!$AN$2:$AZ$2,0))),"")</f>
        <v/>
      </c>
      <c r="O52" s="498" t="str">
        <f t="shared" si="1"/>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2"/>
        <v/>
      </c>
      <c r="AB52" s="520" t="str">
        <f t="shared" si="3"/>
        <v/>
      </c>
      <c r="AC52" s="521" t="str">
        <f t="shared" si="0"/>
        <v/>
      </c>
      <c r="AD52" s="536" t="str">
        <f>IF(M52="","",VLOOKUP(M52,'G-6 Hedgerow Data'!$B$3:$AG$15,31,FALSE))</f>
        <v/>
      </c>
      <c r="AE52" s="506" t="str">
        <f t="shared" si="4"/>
        <v/>
      </c>
      <c r="AF52" s="506" t="str">
        <f t="shared" si="5"/>
        <v/>
      </c>
      <c r="AG52" s="523" t="str">
        <f>IFERROR(IF(O52="","",VLOOKUP(AD52,'G-3 Multipliers'!$P$3:$Q$6,2,FALSE)),"")</f>
        <v/>
      </c>
      <c r="AH52" s="512" t="str">
        <f t="shared" si="6"/>
        <v/>
      </c>
      <c r="AI52" s="230"/>
      <c r="AJ52" s="150"/>
      <c r="AT52" s="31" t="str">
        <f>IFERROR(INDEX('G-6 Hedgerow Data'!$BJ$3:$BJ$15,MATCH(M52,'G-6 Hedgerow Data'!$B$3:$B$15,0)),"")</f>
        <v/>
      </c>
    </row>
    <row r="53" spans="2:46" ht="14.25" x14ac:dyDescent="0.2">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c r="N53" s="497" t="str">
        <f>IFERROR(IF(B53="","",INDEX('G-6 Hedgerow Data'!$AN$3:$AZ$15,MATCH(C53,'G-6 Hedgerow Data'!$AM$3:$AM$15,0),MATCH(M53,'G-6 Hedgerow Data'!$AN$2:$AZ$2,0))),"")</f>
        <v/>
      </c>
      <c r="O53" s="498" t="str">
        <f t="shared" si="1"/>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2"/>
        <v/>
      </c>
      <c r="AB53" s="520" t="str">
        <f t="shared" si="3"/>
        <v/>
      </c>
      <c r="AC53" s="521" t="str">
        <f t="shared" si="0"/>
        <v/>
      </c>
      <c r="AD53" s="536" t="str">
        <f>IF(M53="","",VLOOKUP(M53,'G-6 Hedgerow Data'!$B$3:$AG$15,31,FALSE))</f>
        <v/>
      </c>
      <c r="AE53" s="506" t="str">
        <f t="shared" si="4"/>
        <v/>
      </c>
      <c r="AF53" s="506" t="str">
        <f t="shared" si="5"/>
        <v/>
      </c>
      <c r="AG53" s="523" t="str">
        <f>IFERROR(IF(O53="","",VLOOKUP(AD53,'G-3 Multipliers'!$P$3:$Q$6,2,FALSE)),"")</f>
        <v/>
      </c>
      <c r="AH53" s="512" t="str">
        <f t="shared" si="6"/>
        <v/>
      </c>
      <c r="AI53" s="230"/>
      <c r="AJ53" s="150"/>
      <c r="AT53" s="31" t="str">
        <f>IFERROR(INDEX('G-6 Hedgerow Data'!$BJ$3:$BJ$15,MATCH(M53,'G-6 Hedgerow Data'!$B$3:$B$15,0)),"")</f>
        <v/>
      </c>
    </row>
    <row r="54" spans="2:46" ht="14.25" x14ac:dyDescent="0.2">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c r="N54" s="497" t="str">
        <f>IFERROR(IF(B54="","",INDEX('G-6 Hedgerow Data'!$AN$3:$AZ$15,MATCH(C54,'G-6 Hedgerow Data'!$AM$3:$AM$15,0),MATCH(M54,'G-6 Hedgerow Data'!$AN$2:$AZ$2,0))),"")</f>
        <v/>
      </c>
      <c r="O54" s="498" t="str">
        <f t="shared" si="1"/>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2"/>
        <v/>
      </c>
      <c r="AB54" s="520" t="str">
        <f t="shared" si="3"/>
        <v/>
      </c>
      <c r="AC54" s="521" t="str">
        <f t="shared" si="0"/>
        <v/>
      </c>
      <c r="AD54" s="536" t="str">
        <f>IF(M54="","",VLOOKUP(M54,'G-6 Hedgerow Data'!$B$3:$AG$15,31,FALSE))</f>
        <v/>
      </c>
      <c r="AE54" s="506" t="str">
        <f t="shared" si="4"/>
        <v/>
      </c>
      <c r="AF54" s="506" t="str">
        <f t="shared" si="5"/>
        <v/>
      </c>
      <c r="AG54" s="523" t="str">
        <f>IFERROR(IF(O54="","",VLOOKUP(AD54,'G-3 Multipliers'!$P$3:$Q$6,2,FALSE)),"")</f>
        <v/>
      </c>
      <c r="AH54" s="512" t="str">
        <f t="shared" si="6"/>
        <v/>
      </c>
      <c r="AI54" s="230"/>
      <c r="AJ54" s="150"/>
      <c r="AT54" s="31" t="str">
        <f>IFERROR(INDEX('G-6 Hedgerow Data'!$BJ$3:$BJ$15,MATCH(M54,'G-6 Hedgerow Data'!$B$3:$B$15,0)),"")</f>
        <v/>
      </c>
    </row>
    <row r="55" spans="2:46" ht="14.25" x14ac:dyDescent="0.2">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c r="N55" s="497" t="str">
        <f>IFERROR(IF(B55="","",INDEX('G-6 Hedgerow Data'!$AN$3:$AZ$15,MATCH(C55,'G-6 Hedgerow Data'!$AM$3:$AM$15,0),MATCH(M55,'G-6 Hedgerow Data'!$AN$2:$AZ$2,0))),"")</f>
        <v/>
      </c>
      <c r="O55" s="498" t="str">
        <f t="shared" si="1"/>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2"/>
        <v/>
      </c>
      <c r="AB55" s="520" t="str">
        <f t="shared" si="3"/>
        <v/>
      </c>
      <c r="AC55" s="521" t="str">
        <f t="shared" si="0"/>
        <v/>
      </c>
      <c r="AD55" s="536" t="str">
        <f>IF(M55="","",VLOOKUP(M55,'G-6 Hedgerow Data'!$B$3:$AG$15,31,FALSE))</f>
        <v/>
      </c>
      <c r="AE55" s="506" t="str">
        <f t="shared" si="4"/>
        <v/>
      </c>
      <c r="AF55" s="506" t="str">
        <f t="shared" si="5"/>
        <v/>
      </c>
      <c r="AG55" s="523" t="str">
        <f>IFERROR(IF(O55="","",VLOOKUP(AD55,'G-3 Multipliers'!$P$3:$Q$6,2,FALSE)),"")</f>
        <v/>
      </c>
      <c r="AH55" s="512" t="str">
        <f t="shared" si="6"/>
        <v/>
      </c>
      <c r="AI55" s="230"/>
      <c r="AJ55" s="150"/>
      <c r="AT55" s="31" t="str">
        <f>IFERROR(INDEX('G-6 Hedgerow Data'!$BJ$3:$BJ$15,MATCH(M55,'G-6 Hedgerow Data'!$B$3:$B$15,0)),"")</f>
        <v/>
      </c>
    </row>
    <row r="56" spans="2:46" ht="14.25" x14ac:dyDescent="0.2">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c r="N56" s="497" t="str">
        <f>IFERROR(IF(B56="","",INDEX('G-6 Hedgerow Data'!$AN$3:$AZ$15,MATCH(C56,'G-6 Hedgerow Data'!$AM$3:$AM$15,0),MATCH(M56,'G-6 Hedgerow Data'!$AN$2:$AZ$2,0))),"")</f>
        <v/>
      </c>
      <c r="O56" s="498" t="str">
        <f t="shared" si="1"/>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2"/>
        <v/>
      </c>
      <c r="AB56" s="520" t="str">
        <f t="shared" si="3"/>
        <v/>
      </c>
      <c r="AC56" s="521" t="str">
        <f t="shared" si="0"/>
        <v/>
      </c>
      <c r="AD56" s="536" t="str">
        <f>IF(M56="","",VLOOKUP(M56,'G-6 Hedgerow Data'!$B$3:$AG$15,31,FALSE))</f>
        <v/>
      </c>
      <c r="AE56" s="506" t="str">
        <f t="shared" si="4"/>
        <v/>
      </c>
      <c r="AF56" s="506" t="str">
        <f t="shared" si="5"/>
        <v/>
      </c>
      <c r="AG56" s="523" t="str">
        <f>IFERROR(IF(O56="","",VLOOKUP(AD56,'G-3 Multipliers'!$P$3:$Q$6,2,FALSE)),"")</f>
        <v/>
      </c>
      <c r="AH56" s="512" t="str">
        <f t="shared" si="6"/>
        <v/>
      </c>
      <c r="AI56" s="230"/>
      <c r="AJ56" s="150"/>
      <c r="AT56" s="31" t="str">
        <f>IFERROR(INDEX('G-6 Hedgerow Data'!$BJ$3:$BJ$15,MATCH(M56,'G-6 Hedgerow Data'!$B$3:$B$15,0)),"")</f>
        <v/>
      </c>
    </row>
    <row r="57" spans="2:46" ht="14.25" x14ac:dyDescent="0.2">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c r="N57" s="497" t="str">
        <f>IFERROR(IF(B57="","",INDEX('G-6 Hedgerow Data'!$AN$3:$AZ$15,MATCH(C57,'G-6 Hedgerow Data'!$AM$3:$AM$15,0),MATCH(M57,'G-6 Hedgerow Data'!$AN$2:$AZ$2,0))),"")</f>
        <v/>
      </c>
      <c r="O57" s="498" t="str">
        <f t="shared" si="1"/>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2"/>
        <v/>
      </c>
      <c r="AB57" s="520" t="str">
        <f t="shared" si="3"/>
        <v/>
      </c>
      <c r="AC57" s="521" t="str">
        <f t="shared" si="0"/>
        <v/>
      </c>
      <c r="AD57" s="536" t="str">
        <f>IF(M57="","",VLOOKUP(M57,'G-6 Hedgerow Data'!$B$3:$AG$15,31,FALSE))</f>
        <v/>
      </c>
      <c r="AE57" s="506" t="str">
        <f t="shared" si="4"/>
        <v/>
      </c>
      <c r="AF57" s="506" t="str">
        <f t="shared" si="5"/>
        <v/>
      </c>
      <c r="AG57" s="523" t="str">
        <f>IFERROR(IF(O57="","",VLOOKUP(AD57,'G-3 Multipliers'!$P$3:$Q$6,2,FALSE)),"")</f>
        <v/>
      </c>
      <c r="AH57" s="512" t="str">
        <f t="shared" si="6"/>
        <v/>
      </c>
      <c r="AI57" s="230"/>
      <c r="AJ57" s="150"/>
      <c r="AT57" s="31" t="str">
        <f>IFERROR(INDEX('G-6 Hedgerow Data'!$BJ$3:$BJ$15,MATCH(M57,'G-6 Hedgerow Data'!$B$3:$B$15,0)),"")</f>
        <v/>
      </c>
    </row>
    <row r="58" spans="2:46" ht="14.25" x14ac:dyDescent="0.2">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c r="N58" s="497" t="str">
        <f>IFERROR(IF(B58="","",INDEX('G-6 Hedgerow Data'!$AN$3:$AZ$15,MATCH(C58,'G-6 Hedgerow Data'!$AM$3:$AM$15,0),MATCH(M58,'G-6 Hedgerow Data'!$AN$2:$AZ$2,0))),"")</f>
        <v/>
      </c>
      <c r="O58" s="498" t="str">
        <f t="shared" si="1"/>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2"/>
        <v/>
      </c>
      <c r="AB58" s="520" t="str">
        <f t="shared" si="3"/>
        <v/>
      </c>
      <c r="AC58" s="521" t="str">
        <f t="shared" si="0"/>
        <v/>
      </c>
      <c r="AD58" s="536" t="str">
        <f>IF(M58="","",VLOOKUP(M58,'G-6 Hedgerow Data'!$B$3:$AG$15,31,FALSE))</f>
        <v/>
      </c>
      <c r="AE58" s="506" t="str">
        <f t="shared" si="4"/>
        <v/>
      </c>
      <c r="AF58" s="506" t="str">
        <f t="shared" si="5"/>
        <v/>
      </c>
      <c r="AG58" s="523" t="str">
        <f>IFERROR(IF(O58="","",VLOOKUP(AD58,'G-3 Multipliers'!$P$3:$Q$6,2,FALSE)),"")</f>
        <v/>
      </c>
      <c r="AH58" s="512" t="str">
        <f t="shared" si="6"/>
        <v/>
      </c>
      <c r="AI58" s="230"/>
      <c r="AJ58" s="150"/>
      <c r="AT58" s="31" t="str">
        <f>IFERROR(INDEX('G-6 Hedgerow Data'!$BJ$3:$BJ$15,MATCH(M58,'G-6 Hedgerow Data'!$B$3:$B$15,0)),"")</f>
        <v/>
      </c>
    </row>
    <row r="59" spans="2:46" ht="14.25" x14ac:dyDescent="0.2">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c r="N59" s="497" t="str">
        <f>IFERROR(IF(B59="","",INDEX('G-6 Hedgerow Data'!$AN$3:$AZ$15,MATCH(C59,'G-6 Hedgerow Data'!$AM$3:$AM$15,0),MATCH(M59,'G-6 Hedgerow Data'!$AN$2:$AZ$2,0))),"")</f>
        <v/>
      </c>
      <c r="O59" s="498" t="str">
        <f t="shared" si="1"/>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2"/>
        <v/>
      </c>
      <c r="AB59" s="520" t="str">
        <f t="shared" si="3"/>
        <v/>
      </c>
      <c r="AC59" s="521" t="str">
        <f t="shared" si="0"/>
        <v/>
      </c>
      <c r="AD59" s="536" t="str">
        <f>IF(M59="","",VLOOKUP(M59,'G-6 Hedgerow Data'!$B$3:$AG$15,31,FALSE))</f>
        <v/>
      </c>
      <c r="AE59" s="506" t="str">
        <f t="shared" si="4"/>
        <v/>
      </c>
      <c r="AF59" s="506" t="str">
        <f t="shared" si="5"/>
        <v/>
      </c>
      <c r="AG59" s="523" t="str">
        <f>IFERROR(IF(O59="","",VLOOKUP(AD59,'G-3 Multipliers'!$P$3:$Q$6,2,FALSE)),"")</f>
        <v/>
      </c>
      <c r="AH59" s="512" t="str">
        <f t="shared" si="6"/>
        <v/>
      </c>
      <c r="AI59" s="230"/>
      <c r="AJ59" s="150"/>
      <c r="AT59" s="31" t="str">
        <f>IFERROR(INDEX('G-6 Hedgerow Data'!$BJ$3:$BJ$15,MATCH(M59,'G-6 Hedgerow Data'!$B$3:$B$15,0)),"")</f>
        <v/>
      </c>
    </row>
    <row r="60" spans="2:46" ht="14.25" x14ac:dyDescent="0.2">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c r="N60" s="497" t="str">
        <f>IFERROR(IF(B60="","",INDEX('G-6 Hedgerow Data'!$AN$3:$AZ$15,MATCH(C60,'G-6 Hedgerow Data'!$AM$3:$AM$15,0),MATCH(M60,'G-6 Hedgerow Data'!$AN$2:$AZ$2,0))),"")</f>
        <v/>
      </c>
      <c r="O60" s="498" t="str">
        <f t="shared" si="1"/>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2"/>
        <v/>
      </c>
      <c r="AB60" s="520" t="str">
        <f t="shared" si="3"/>
        <v/>
      </c>
      <c r="AC60" s="521" t="str">
        <f t="shared" si="0"/>
        <v/>
      </c>
      <c r="AD60" s="536" t="str">
        <f>IF(M60="","",VLOOKUP(M60,'G-6 Hedgerow Data'!$B$3:$AG$15,31,FALSE))</f>
        <v/>
      </c>
      <c r="AE60" s="506" t="str">
        <f t="shared" si="4"/>
        <v/>
      </c>
      <c r="AF60" s="506" t="str">
        <f t="shared" si="5"/>
        <v/>
      </c>
      <c r="AG60" s="523" t="str">
        <f>IFERROR(IF(O60="","",VLOOKUP(AD60,'G-3 Multipliers'!$P$3:$Q$6,2,FALSE)),"")</f>
        <v/>
      </c>
      <c r="AH60" s="512" t="str">
        <f t="shared" si="6"/>
        <v/>
      </c>
      <c r="AI60" s="230"/>
      <c r="AJ60" s="150"/>
      <c r="AT60" s="31" t="str">
        <f>IFERROR(INDEX('G-6 Hedgerow Data'!$BJ$3:$BJ$15,MATCH(M60,'G-6 Hedgerow Data'!$B$3:$B$15,0)),"")</f>
        <v/>
      </c>
    </row>
    <row r="61" spans="2:46" ht="14.25" x14ac:dyDescent="0.2">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c r="N61" s="497" t="str">
        <f>IFERROR(IF(B61="","",INDEX('G-6 Hedgerow Data'!$AN$3:$AZ$15,MATCH(C61,'G-6 Hedgerow Data'!$AM$3:$AM$15,0),MATCH(M61,'G-6 Hedgerow Data'!$AN$2:$AZ$2,0))),"")</f>
        <v/>
      </c>
      <c r="O61" s="498" t="str">
        <f t="shared" si="1"/>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2"/>
        <v/>
      </c>
      <c r="AB61" s="520" t="str">
        <f t="shared" si="3"/>
        <v/>
      </c>
      <c r="AC61" s="521" t="str">
        <f t="shared" si="0"/>
        <v/>
      </c>
      <c r="AD61" s="536" t="str">
        <f>IF(M61="","",VLOOKUP(M61,'G-6 Hedgerow Data'!$B$3:$AG$15,31,FALSE))</f>
        <v/>
      </c>
      <c r="AE61" s="506" t="str">
        <f t="shared" si="4"/>
        <v/>
      </c>
      <c r="AF61" s="506" t="str">
        <f t="shared" si="5"/>
        <v/>
      </c>
      <c r="AG61" s="523" t="str">
        <f>IFERROR(IF(O61="","",VLOOKUP(AD61,'G-3 Multipliers'!$P$3:$Q$6,2,FALSE)),"")</f>
        <v/>
      </c>
      <c r="AH61" s="512" t="str">
        <f t="shared" si="6"/>
        <v/>
      </c>
      <c r="AI61" s="230"/>
      <c r="AJ61" s="150"/>
      <c r="AT61" s="31" t="str">
        <f>IFERROR(INDEX('G-6 Hedgerow Data'!$BJ$3:$BJ$15,MATCH(M61,'G-6 Hedgerow Data'!$B$3:$B$15,0)),"")</f>
        <v/>
      </c>
    </row>
    <row r="62" spans="2:46" ht="14.25" x14ac:dyDescent="0.2">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c r="N62" s="497" t="str">
        <f>IFERROR(IF(B62="","",INDEX('G-6 Hedgerow Data'!$AN$3:$AZ$15,MATCH(C62,'G-6 Hedgerow Data'!$AM$3:$AM$15,0),MATCH(M62,'G-6 Hedgerow Data'!$AN$2:$AZ$2,0))),"")</f>
        <v/>
      </c>
      <c r="O62" s="498" t="str">
        <f t="shared" si="1"/>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2"/>
        <v/>
      </c>
      <c r="AB62" s="520" t="str">
        <f t="shared" si="3"/>
        <v/>
      </c>
      <c r="AC62" s="521" t="str">
        <f t="shared" si="0"/>
        <v/>
      </c>
      <c r="AD62" s="536" t="str">
        <f>IF(M62="","",VLOOKUP(M62,'G-6 Hedgerow Data'!$B$3:$AG$15,31,FALSE))</f>
        <v/>
      </c>
      <c r="AE62" s="506" t="str">
        <f t="shared" si="4"/>
        <v/>
      </c>
      <c r="AF62" s="506" t="str">
        <f t="shared" si="5"/>
        <v/>
      </c>
      <c r="AG62" s="523" t="str">
        <f>IFERROR(IF(O62="","",VLOOKUP(AD62,'G-3 Multipliers'!$P$3:$Q$6,2,FALSE)),"")</f>
        <v/>
      </c>
      <c r="AH62" s="512" t="str">
        <f t="shared" si="6"/>
        <v/>
      </c>
      <c r="AI62" s="230"/>
      <c r="AJ62" s="150"/>
      <c r="AT62" s="31" t="str">
        <f>IFERROR(INDEX('G-6 Hedgerow Data'!$BJ$3:$BJ$15,MATCH(M62,'G-6 Hedgerow Data'!$B$3:$B$15,0)),"")</f>
        <v/>
      </c>
    </row>
    <row r="63" spans="2:46" ht="14.25" x14ac:dyDescent="0.2">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c r="N63" s="497" t="str">
        <f>IFERROR(IF(B63="","",INDEX('G-6 Hedgerow Data'!$AN$3:$AZ$15,MATCH(C63,'G-6 Hedgerow Data'!$AM$3:$AM$15,0),MATCH(M63,'G-6 Hedgerow Data'!$AN$2:$AZ$2,0))),"")</f>
        <v/>
      </c>
      <c r="O63" s="498" t="str">
        <f t="shared" si="1"/>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2"/>
        <v/>
      </c>
      <c r="AB63" s="520" t="str">
        <f t="shared" si="3"/>
        <v/>
      </c>
      <c r="AC63" s="521" t="str">
        <f t="shared" si="0"/>
        <v/>
      </c>
      <c r="AD63" s="536" t="str">
        <f>IF(M63="","",VLOOKUP(M63,'G-6 Hedgerow Data'!$B$3:$AG$15,31,FALSE))</f>
        <v/>
      </c>
      <c r="AE63" s="506" t="str">
        <f t="shared" si="4"/>
        <v/>
      </c>
      <c r="AF63" s="506" t="str">
        <f t="shared" si="5"/>
        <v/>
      </c>
      <c r="AG63" s="523" t="str">
        <f>IFERROR(IF(O63="","",VLOOKUP(AD63,'G-3 Multipliers'!$P$3:$Q$6,2,FALSE)),"")</f>
        <v/>
      </c>
      <c r="AH63" s="512" t="str">
        <f t="shared" si="6"/>
        <v/>
      </c>
      <c r="AI63" s="230"/>
      <c r="AJ63" s="150"/>
      <c r="AT63" s="31" t="str">
        <f>IFERROR(INDEX('G-6 Hedgerow Data'!$BJ$3:$BJ$15,MATCH(M63,'G-6 Hedgerow Data'!$B$3:$B$15,0)),"")</f>
        <v/>
      </c>
    </row>
    <row r="64" spans="2:46" ht="14.25" x14ac:dyDescent="0.2">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c r="N64" s="497" t="str">
        <f>IFERROR(IF(B64="","",INDEX('G-6 Hedgerow Data'!$AN$3:$AZ$15,MATCH(C64,'G-6 Hedgerow Data'!$AM$3:$AM$15,0),MATCH(M64,'G-6 Hedgerow Data'!$AN$2:$AZ$2,0))),"")</f>
        <v/>
      </c>
      <c r="O64" s="498" t="str">
        <f t="shared" si="1"/>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2"/>
        <v/>
      </c>
      <c r="AB64" s="520" t="str">
        <f t="shared" si="3"/>
        <v/>
      </c>
      <c r="AC64" s="521" t="str">
        <f t="shared" si="0"/>
        <v/>
      </c>
      <c r="AD64" s="536" t="str">
        <f>IF(M64="","",VLOOKUP(M64,'G-6 Hedgerow Data'!$B$3:$AG$15,31,FALSE))</f>
        <v/>
      </c>
      <c r="AE64" s="506" t="str">
        <f t="shared" si="4"/>
        <v/>
      </c>
      <c r="AF64" s="506" t="str">
        <f t="shared" si="5"/>
        <v/>
      </c>
      <c r="AG64" s="523" t="str">
        <f>IFERROR(IF(O64="","",VLOOKUP(AD64,'G-3 Multipliers'!$P$3:$Q$6,2,FALSE)),"")</f>
        <v/>
      </c>
      <c r="AH64" s="512" t="str">
        <f t="shared" si="6"/>
        <v/>
      </c>
      <c r="AI64" s="230"/>
      <c r="AJ64" s="150"/>
      <c r="AT64" s="31" t="str">
        <f>IFERROR(INDEX('G-6 Hedgerow Data'!$BJ$3:$BJ$15,MATCH(M64,'G-6 Hedgerow Data'!$B$3:$B$15,0)),"")</f>
        <v/>
      </c>
    </row>
    <row r="65" spans="2:46" ht="14.25" x14ac:dyDescent="0.2">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c r="N65" s="497" t="str">
        <f>IFERROR(IF(B65="","",INDEX('G-6 Hedgerow Data'!$AN$3:$AZ$15,MATCH(C65,'G-6 Hedgerow Data'!$AM$3:$AM$15,0),MATCH(M65,'G-6 Hedgerow Data'!$AN$2:$AZ$2,0))),"")</f>
        <v/>
      </c>
      <c r="O65" s="498" t="str">
        <f t="shared" si="1"/>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2"/>
        <v/>
      </c>
      <c r="AB65" s="520" t="str">
        <f t="shared" si="3"/>
        <v/>
      </c>
      <c r="AC65" s="521" t="str">
        <f t="shared" si="0"/>
        <v/>
      </c>
      <c r="AD65" s="536" t="str">
        <f>IF(M65="","",VLOOKUP(M65,'G-6 Hedgerow Data'!$B$3:$AG$15,31,FALSE))</f>
        <v/>
      </c>
      <c r="AE65" s="506" t="str">
        <f t="shared" si="4"/>
        <v/>
      </c>
      <c r="AF65" s="506" t="str">
        <f t="shared" si="5"/>
        <v/>
      </c>
      <c r="AG65" s="523" t="str">
        <f>IFERROR(IF(O65="","",VLOOKUP(AD65,'G-3 Multipliers'!$P$3:$Q$6,2,FALSE)),"")</f>
        <v/>
      </c>
      <c r="AH65" s="512" t="str">
        <f t="shared" si="6"/>
        <v/>
      </c>
      <c r="AI65" s="230"/>
      <c r="AJ65" s="150"/>
      <c r="AT65" s="31" t="str">
        <f>IFERROR(INDEX('G-6 Hedgerow Data'!$BJ$3:$BJ$15,MATCH(M65,'G-6 Hedgerow Data'!$B$3:$B$15,0)),"")</f>
        <v/>
      </c>
    </row>
    <row r="66" spans="2:46" ht="14.25" x14ac:dyDescent="0.2">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c r="N66" s="497" t="str">
        <f>IFERROR(IF(B66="","",INDEX('G-6 Hedgerow Data'!$AN$3:$AZ$15,MATCH(C66,'G-6 Hedgerow Data'!$AM$3:$AM$15,0),MATCH(M66,'G-6 Hedgerow Data'!$AN$2:$AZ$2,0))),"")</f>
        <v/>
      </c>
      <c r="O66" s="498" t="str">
        <f t="shared" si="1"/>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2"/>
        <v/>
      </c>
      <c r="AB66" s="520" t="str">
        <f t="shared" si="3"/>
        <v/>
      </c>
      <c r="AC66" s="521" t="str">
        <f t="shared" si="0"/>
        <v/>
      </c>
      <c r="AD66" s="536" t="str">
        <f>IF(M66="","",VLOOKUP(M66,'G-6 Hedgerow Data'!$B$3:$AG$15,31,FALSE))</f>
        <v/>
      </c>
      <c r="AE66" s="506" t="str">
        <f t="shared" si="4"/>
        <v/>
      </c>
      <c r="AF66" s="506" t="str">
        <f t="shared" si="5"/>
        <v/>
      </c>
      <c r="AG66" s="523" t="str">
        <f>IFERROR(IF(O66="","",VLOOKUP(AD66,'G-3 Multipliers'!$P$3:$Q$6,2,FALSE)),"")</f>
        <v/>
      </c>
      <c r="AH66" s="512" t="str">
        <f t="shared" si="6"/>
        <v/>
      </c>
      <c r="AI66" s="230"/>
      <c r="AJ66" s="150"/>
      <c r="AT66" s="31" t="str">
        <f>IFERROR(INDEX('G-6 Hedgerow Data'!$BJ$3:$BJ$15,MATCH(M66,'G-6 Hedgerow Data'!$B$3:$B$15,0)),"")</f>
        <v/>
      </c>
    </row>
    <row r="67" spans="2:46" ht="14.25" x14ac:dyDescent="0.2">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c r="N67" s="497" t="str">
        <f>IFERROR(IF(B67="","",INDEX('G-6 Hedgerow Data'!$AN$3:$AZ$15,MATCH(C67,'G-6 Hedgerow Data'!$AM$3:$AM$15,0),MATCH(M67,'G-6 Hedgerow Data'!$AN$2:$AZ$2,0))),"")</f>
        <v/>
      </c>
      <c r="O67" s="498" t="str">
        <f t="shared" si="1"/>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2"/>
        <v/>
      </c>
      <c r="AB67" s="520" t="str">
        <f t="shared" si="3"/>
        <v/>
      </c>
      <c r="AC67" s="521" t="str">
        <f t="shared" si="0"/>
        <v/>
      </c>
      <c r="AD67" s="536" t="str">
        <f>IF(M67="","",VLOOKUP(M67,'G-6 Hedgerow Data'!$B$3:$AG$15,31,FALSE))</f>
        <v/>
      </c>
      <c r="AE67" s="506" t="str">
        <f t="shared" si="4"/>
        <v/>
      </c>
      <c r="AF67" s="506" t="str">
        <f t="shared" si="5"/>
        <v/>
      </c>
      <c r="AG67" s="523" t="str">
        <f>IFERROR(IF(O67="","",VLOOKUP(AD67,'G-3 Multipliers'!$P$3:$Q$6,2,FALSE)),"")</f>
        <v/>
      </c>
      <c r="AH67" s="512" t="str">
        <f t="shared" si="6"/>
        <v/>
      </c>
      <c r="AI67" s="230"/>
      <c r="AJ67" s="150"/>
      <c r="AT67" s="31" t="str">
        <f>IFERROR(INDEX('G-6 Hedgerow Data'!$BJ$3:$BJ$15,MATCH(M67,'G-6 Hedgerow Data'!$B$3:$B$15,0)),"")</f>
        <v/>
      </c>
    </row>
    <row r="68" spans="2:46" ht="14.25" x14ac:dyDescent="0.2">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c r="N68" s="497" t="str">
        <f>IFERROR(IF(B68="","",INDEX('G-6 Hedgerow Data'!$AN$3:$AZ$15,MATCH(C68,'G-6 Hedgerow Data'!$AM$3:$AM$15,0),MATCH(M68,'G-6 Hedgerow Data'!$AN$2:$AZ$2,0))),"")</f>
        <v/>
      </c>
      <c r="O68" s="498" t="str">
        <f t="shared" si="1"/>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2"/>
        <v/>
      </c>
      <c r="AB68" s="520" t="str">
        <f t="shared" si="3"/>
        <v/>
      </c>
      <c r="AC68" s="521" t="str">
        <f t="shared" si="0"/>
        <v/>
      </c>
      <c r="AD68" s="536" t="str">
        <f>IF(M68="","",VLOOKUP(M68,'G-6 Hedgerow Data'!$B$3:$AG$15,31,FALSE))</f>
        <v/>
      </c>
      <c r="AE68" s="506" t="str">
        <f t="shared" si="4"/>
        <v/>
      </c>
      <c r="AF68" s="506" t="str">
        <f t="shared" si="5"/>
        <v/>
      </c>
      <c r="AG68" s="523" t="str">
        <f>IFERROR(IF(O68="","",VLOOKUP(AD68,'G-3 Multipliers'!$P$3:$Q$6,2,FALSE)),"")</f>
        <v/>
      </c>
      <c r="AH68" s="512" t="str">
        <f t="shared" si="6"/>
        <v/>
      </c>
      <c r="AI68" s="230"/>
      <c r="AJ68" s="150"/>
      <c r="AT68" s="31" t="str">
        <f>IFERROR(INDEX('G-6 Hedgerow Data'!$BJ$3:$BJ$15,MATCH(M68,'G-6 Hedgerow Data'!$B$3:$B$15,0)),"")</f>
        <v/>
      </c>
    </row>
    <row r="69" spans="2:46" ht="14.25" x14ac:dyDescent="0.2">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c r="N69" s="497" t="str">
        <f>IFERROR(IF(B69="","",INDEX('G-6 Hedgerow Data'!$AN$3:$AZ$15,MATCH(C69,'G-6 Hedgerow Data'!$AM$3:$AM$15,0),MATCH(M69,'G-6 Hedgerow Data'!$AN$2:$AZ$2,0))),"")</f>
        <v/>
      </c>
      <c r="O69" s="498" t="str">
        <f t="shared" si="1"/>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2"/>
        <v/>
      </c>
      <c r="AB69" s="520" t="str">
        <f t="shared" si="3"/>
        <v/>
      </c>
      <c r="AC69" s="521" t="str">
        <f t="shared" si="0"/>
        <v/>
      </c>
      <c r="AD69" s="536" t="str">
        <f>IF(M69="","",VLOOKUP(M69,'G-6 Hedgerow Data'!$B$3:$AG$15,31,FALSE))</f>
        <v/>
      </c>
      <c r="AE69" s="506" t="str">
        <f t="shared" si="4"/>
        <v/>
      </c>
      <c r="AF69" s="506" t="str">
        <f t="shared" si="5"/>
        <v/>
      </c>
      <c r="AG69" s="523" t="str">
        <f>IFERROR(IF(O69="","",VLOOKUP(AD69,'G-3 Multipliers'!$P$3:$Q$6,2,FALSE)),"")</f>
        <v/>
      </c>
      <c r="AH69" s="512" t="str">
        <f t="shared" si="6"/>
        <v/>
      </c>
      <c r="AI69" s="230"/>
      <c r="AJ69" s="150"/>
      <c r="AT69" s="31" t="str">
        <f>IFERROR(INDEX('G-6 Hedgerow Data'!$BJ$3:$BJ$15,MATCH(M69,'G-6 Hedgerow Data'!$B$3:$B$15,0)),"")</f>
        <v/>
      </c>
    </row>
    <row r="70" spans="2:46" ht="14.25" x14ac:dyDescent="0.2">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c r="N70" s="497" t="str">
        <f>IFERROR(IF(B70="","",INDEX('G-6 Hedgerow Data'!$AN$3:$AZ$15,MATCH(C70,'G-6 Hedgerow Data'!$AM$3:$AM$15,0),MATCH(M70,'G-6 Hedgerow Data'!$AN$2:$AZ$2,0))),"")</f>
        <v/>
      </c>
      <c r="O70" s="498" t="str">
        <f t="shared" si="1"/>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2"/>
        <v/>
      </c>
      <c r="AB70" s="520" t="str">
        <f t="shared" si="3"/>
        <v/>
      </c>
      <c r="AC70" s="521" t="str">
        <f t="shared" si="0"/>
        <v/>
      </c>
      <c r="AD70" s="536" t="str">
        <f>IF(M70="","",VLOOKUP(M70,'G-6 Hedgerow Data'!$B$3:$AG$15,31,FALSE))</f>
        <v/>
      </c>
      <c r="AE70" s="506" t="str">
        <f t="shared" si="4"/>
        <v/>
      </c>
      <c r="AF70" s="506" t="str">
        <f t="shared" si="5"/>
        <v/>
      </c>
      <c r="AG70" s="523" t="str">
        <f>IFERROR(IF(O70="","",VLOOKUP(AD70,'G-3 Multipliers'!$P$3:$Q$6,2,FALSE)),"")</f>
        <v/>
      </c>
      <c r="AH70" s="512" t="str">
        <f t="shared" si="6"/>
        <v/>
      </c>
      <c r="AI70" s="230"/>
      <c r="AJ70" s="150"/>
      <c r="AT70" s="31" t="str">
        <f>IFERROR(INDEX('G-6 Hedgerow Data'!$BJ$3:$BJ$15,MATCH(M70,'G-6 Hedgerow Data'!$B$3:$B$15,0)),"")</f>
        <v/>
      </c>
    </row>
    <row r="71" spans="2:46" ht="14.25" x14ac:dyDescent="0.2">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c r="N71" s="497" t="str">
        <f>IFERROR(IF(B71="","",INDEX('G-6 Hedgerow Data'!$AN$3:$AZ$15,MATCH(C71,'G-6 Hedgerow Data'!$AM$3:$AM$15,0),MATCH(M71,'G-6 Hedgerow Data'!$AN$2:$AZ$2,0))),"")</f>
        <v/>
      </c>
      <c r="O71" s="498" t="str">
        <f t="shared" si="1"/>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2"/>
        <v/>
      </c>
      <c r="AB71" s="520" t="str">
        <f t="shared" si="3"/>
        <v/>
      </c>
      <c r="AC71" s="521" t="str">
        <f t="shared" si="0"/>
        <v/>
      </c>
      <c r="AD71" s="536" t="str">
        <f>IF(M71="","",VLOOKUP(M71,'G-6 Hedgerow Data'!$B$3:$AG$15,31,FALSE))</f>
        <v/>
      </c>
      <c r="AE71" s="506" t="str">
        <f t="shared" si="4"/>
        <v/>
      </c>
      <c r="AF71" s="506" t="str">
        <f t="shared" si="5"/>
        <v/>
      </c>
      <c r="AG71" s="523" t="str">
        <f>IFERROR(IF(O71="","",VLOOKUP(AD71,'G-3 Multipliers'!$P$3:$Q$6,2,FALSE)),"")</f>
        <v/>
      </c>
      <c r="AH71" s="512" t="str">
        <f t="shared" si="6"/>
        <v/>
      </c>
      <c r="AI71" s="230"/>
      <c r="AJ71" s="150"/>
      <c r="AT71" s="31" t="str">
        <f>IFERROR(INDEX('G-6 Hedgerow Data'!$BJ$3:$BJ$15,MATCH(M71,'G-6 Hedgerow Data'!$B$3:$B$15,0)),"")</f>
        <v/>
      </c>
    </row>
    <row r="72" spans="2:46" ht="14.25" x14ac:dyDescent="0.2">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c r="N72" s="497" t="str">
        <f>IFERROR(IF(B72="","",INDEX('G-6 Hedgerow Data'!$AN$3:$AZ$15,MATCH(C72,'G-6 Hedgerow Data'!$AM$3:$AM$15,0),MATCH(M72,'G-6 Hedgerow Data'!$AN$2:$AZ$2,0))),"")</f>
        <v/>
      </c>
      <c r="O72" s="498" t="str">
        <f t="shared" si="1"/>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2"/>
        <v/>
      </c>
      <c r="AB72" s="520" t="str">
        <f t="shared" si="3"/>
        <v/>
      </c>
      <c r="AC72" s="521" t="str">
        <f t="shared" si="0"/>
        <v/>
      </c>
      <c r="AD72" s="536" t="str">
        <f>IF(M72="","",VLOOKUP(M72,'G-6 Hedgerow Data'!$B$3:$AG$15,31,FALSE))</f>
        <v/>
      </c>
      <c r="AE72" s="506" t="str">
        <f t="shared" si="4"/>
        <v/>
      </c>
      <c r="AF72" s="506" t="str">
        <f t="shared" si="5"/>
        <v/>
      </c>
      <c r="AG72" s="523" t="str">
        <f>IFERROR(IF(O72="","",VLOOKUP(AD72,'G-3 Multipliers'!$P$3:$Q$6,2,FALSE)),"")</f>
        <v/>
      </c>
      <c r="AH72" s="512" t="str">
        <f t="shared" si="6"/>
        <v/>
      </c>
      <c r="AI72" s="230"/>
      <c r="AJ72" s="150"/>
      <c r="AT72" s="31" t="str">
        <f>IFERROR(INDEX('G-6 Hedgerow Data'!$BJ$3:$BJ$15,MATCH(M72,'G-6 Hedgerow Data'!$B$3:$B$15,0)),"")</f>
        <v/>
      </c>
    </row>
    <row r="73" spans="2:46" ht="14.25" x14ac:dyDescent="0.2">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c r="N73" s="497" t="str">
        <f>IFERROR(IF(B73="","",INDEX('G-6 Hedgerow Data'!$AN$3:$AZ$15,MATCH(C73,'G-6 Hedgerow Data'!$AM$3:$AM$15,0),MATCH(M73,'G-6 Hedgerow Data'!$AN$2:$AZ$2,0))),"")</f>
        <v/>
      </c>
      <c r="O73" s="498" t="str">
        <f t="shared" si="1"/>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2"/>
        <v/>
      </c>
      <c r="AB73" s="520" t="str">
        <f t="shared" si="3"/>
        <v/>
      </c>
      <c r="AC73" s="521" t="str">
        <f t="shared" si="0"/>
        <v/>
      </c>
      <c r="AD73" s="536" t="str">
        <f>IF(M73="","",VLOOKUP(M73,'G-6 Hedgerow Data'!$B$3:$AG$15,31,FALSE))</f>
        <v/>
      </c>
      <c r="AE73" s="506" t="str">
        <f t="shared" si="4"/>
        <v/>
      </c>
      <c r="AF73" s="506" t="str">
        <f t="shared" si="5"/>
        <v/>
      </c>
      <c r="AG73" s="523" t="str">
        <f>IFERROR(IF(O73="","",VLOOKUP(AD73,'G-3 Multipliers'!$P$3:$Q$6,2,FALSE)),"")</f>
        <v/>
      </c>
      <c r="AH73" s="512" t="str">
        <f t="shared" si="6"/>
        <v/>
      </c>
      <c r="AI73" s="230"/>
      <c r="AJ73" s="150"/>
      <c r="AT73" s="31" t="str">
        <f>IFERROR(INDEX('G-6 Hedgerow Data'!$BJ$3:$BJ$15,MATCH(M73,'G-6 Hedgerow Data'!$B$3:$B$15,0)),"")</f>
        <v/>
      </c>
    </row>
    <row r="74" spans="2:46" ht="14.25" x14ac:dyDescent="0.2">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c r="N74" s="497" t="str">
        <f>IFERROR(IF(B74="","",INDEX('G-6 Hedgerow Data'!$AN$3:$AZ$15,MATCH(C74,'G-6 Hedgerow Data'!$AM$3:$AM$15,0),MATCH(M74,'G-6 Hedgerow Data'!$AN$2:$AZ$2,0))),"")</f>
        <v/>
      </c>
      <c r="O74" s="498" t="str">
        <f t="shared" si="1"/>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2"/>
        <v/>
      </c>
      <c r="AB74" s="520" t="str">
        <f t="shared" si="3"/>
        <v/>
      </c>
      <c r="AC74" s="521" t="str">
        <f t="shared" si="0"/>
        <v/>
      </c>
      <c r="AD74" s="536" t="str">
        <f>IF(M74="","",VLOOKUP(M74,'G-6 Hedgerow Data'!$B$3:$AG$15,31,FALSE))</f>
        <v/>
      </c>
      <c r="AE74" s="506" t="str">
        <f t="shared" si="4"/>
        <v/>
      </c>
      <c r="AF74" s="506" t="str">
        <f t="shared" si="5"/>
        <v/>
      </c>
      <c r="AG74" s="523" t="str">
        <f>IFERROR(IF(O74="","",VLOOKUP(AD74,'G-3 Multipliers'!$P$3:$Q$6,2,FALSE)),"")</f>
        <v/>
      </c>
      <c r="AH74" s="512" t="str">
        <f t="shared" si="6"/>
        <v/>
      </c>
      <c r="AI74" s="230"/>
      <c r="AJ74" s="150"/>
      <c r="AT74" s="31" t="str">
        <f>IFERROR(INDEX('G-6 Hedgerow Data'!$BJ$3:$BJ$15,MATCH(M74,'G-6 Hedgerow Data'!$B$3:$B$15,0)),"")</f>
        <v/>
      </c>
    </row>
    <row r="75" spans="2:46" ht="14.25" x14ac:dyDescent="0.2">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c r="N75" s="497" t="str">
        <f>IFERROR(IF(B75="","",INDEX('G-6 Hedgerow Data'!$AN$3:$AZ$15,MATCH(C75,'G-6 Hedgerow Data'!$AM$3:$AM$15,0),MATCH(M75,'G-6 Hedgerow Data'!$AN$2:$AZ$2,0))),"")</f>
        <v/>
      </c>
      <c r="O75" s="498" t="str">
        <f t="shared" si="1"/>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2"/>
        <v/>
      </c>
      <c r="AB75" s="520" t="str">
        <f t="shared" si="3"/>
        <v/>
      </c>
      <c r="AC75" s="521" t="str">
        <f t="shared" si="0"/>
        <v/>
      </c>
      <c r="AD75" s="536" t="str">
        <f>IF(M75="","",VLOOKUP(M75,'G-6 Hedgerow Data'!$B$3:$AG$15,31,FALSE))</f>
        <v/>
      </c>
      <c r="AE75" s="506" t="str">
        <f t="shared" si="4"/>
        <v/>
      </c>
      <c r="AF75" s="506" t="str">
        <f t="shared" si="5"/>
        <v/>
      </c>
      <c r="AG75" s="523" t="str">
        <f>IFERROR(IF(O75="","",VLOOKUP(AD75,'G-3 Multipliers'!$P$3:$Q$6,2,FALSE)),"")</f>
        <v/>
      </c>
      <c r="AH75" s="512" t="str">
        <f t="shared" si="6"/>
        <v/>
      </c>
      <c r="AI75" s="230"/>
      <c r="AJ75" s="150"/>
      <c r="AT75" s="31" t="str">
        <f>IFERROR(INDEX('G-6 Hedgerow Data'!$BJ$3:$BJ$15,MATCH(M75,'G-6 Hedgerow Data'!$B$3:$B$15,0)),"")</f>
        <v/>
      </c>
    </row>
    <row r="76" spans="2:46" ht="14.25" x14ac:dyDescent="0.2">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c r="N76" s="497" t="str">
        <f>IFERROR(IF(B76="","",INDEX('G-6 Hedgerow Data'!$AN$3:$AZ$15,MATCH(C76,'G-6 Hedgerow Data'!$AM$3:$AM$15,0),MATCH(M76,'G-6 Hedgerow Data'!$AN$2:$AZ$2,0))),"")</f>
        <v/>
      </c>
      <c r="O76" s="498" t="str">
        <f t="shared" si="1"/>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2"/>
        <v/>
      </c>
      <c r="AB76" s="520" t="str">
        <f t="shared" si="3"/>
        <v/>
      </c>
      <c r="AC76" s="521" t="str">
        <f t="shared" ref="AC76:AC139" si="7">IF(OR(S76="",M76=""),"",IF(LEFT(AB76,5)="Error ▲","Check Data ⚠",IF(AB76="Check Data ⚠","Check Data ⚠",VLOOKUP(AB76,TemporalMultipliers,3,FALSE))))</f>
        <v/>
      </c>
      <c r="AD76" s="536" t="str">
        <f>IF(M76="","",VLOOKUP(M76,'G-6 Hedgerow Data'!$B$3:$AG$15,31,FALSE))</f>
        <v/>
      </c>
      <c r="AE76" s="506" t="str">
        <f t="shared" si="4"/>
        <v/>
      </c>
      <c r="AF76" s="506" t="str">
        <f t="shared" si="5"/>
        <v/>
      </c>
      <c r="AG76" s="523" t="str">
        <f>IFERROR(IF(O76="","",VLOOKUP(AD76,'G-3 Multipliers'!$P$3:$Q$6,2,FALSE)),"")</f>
        <v/>
      </c>
      <c r="AH76" s="512" t="str">
        <f t="shared" ref="AH76:AH139" si="8">IFERROR(IF(OR(M76="",S76="",U76=""),"",(((((P76*R76*T76)-(P76*F76*H76))*(AG76*AC76))+(P76*F76*H76))*(W76))),"")</f>
        <v/>
      </c>
      <c r="AI76" s="230"/>
      <c r="AJ76" s="150"/>
      <c r="AT76" s="31" t="str">
        <f>IFERROR(INDEX('G-6 Hedgerow Data'!$BJ$3:$BJ$15,MATCH(M76,'G-6 Hedgerow Data'!$B$3:$B$15,0)),"")</f>
        <v/>
      </c>
    </row>
    <row r="77" spans="2:46" ht="14.25" x14ac:dyDescent="0.2">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c r="N77" s="497" t="str">
        <f>IFERROR(IF(B77="","",INDEX('G-6 Hedgerow Data'!$AN$3:$AZ$15,MATCH(C77,'G-6 Hedgerow Data'!$AM$3:$AM$15,0),MATCH(M77,'G-6 Hedgerow Data'!$AN$2:$AZ$2,0))),"")</f>
        <v/>
      </c>
      <c r="O77" s="498" t="str">
        <f t="shared" ref="O77:O140" si="9">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0">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1">IF(X77="","",IF(AA77="Check Data ⚠","Check Data ⚠",IF(Y77="30+",0,IF(Z77="30+","30+ ⚠",IF(X77+Z77&gt;30,"30+ ⚠",IF(LEFT(AA77,5)="Error ▲","Check Data ⚠",IF(X77+Z77-Y77&gt;0,X77+Z77-Y77,IF(X77-Y77&lt;=0,0,))))))))</f>
        <v/>
      </c>
      <c r="AC77" s="521" t="str">
        <f t="shared" si="7"/>
        <v/>
      </c>
      <c r="AD77" s="536" t="str">
        <f>IF(M77="","",VLOOKUP(M77,'G-6 Hedgerow Data'!$B$3:$AG$15,31,FALSE))</f>
        <v/>
      </c>
      <c r="AE77" s="506" t="str">
        <f t="shared" ref="AE77:AE140" si="12">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3">(IF(AND(AE77="Standard difficulty applied",X77&gt;Y77),AD77,IF(AND(AE77="Low Difficulty - only applicable if all habitat created before losses ⚠",Y77&gt;=X77),"Low",AD77)))</f>
        <v/>
      </c>
      <c r="AG77" s="523" t="str">
        <f>IFERROR(IF(O77="","",VLOOKUP(AD77,'G-3 Multipliers'!$P$3:$Q$6,2,FALSE)),"")</f>
        <v/>
      </c>
      <c r="AH77" s="512" t="str">
        <f t="shared" si="8"/>
        <v/>
      </c>
      <c r="AI77" s="230"/>
      <c r="AJ77" s="150"/>
      <c r="AT77" s="31" t="str">
        <f>IFERROR(INDEX('G-6 Hedgerow Data'!$BJ$3:$BJ$15,MATCH(M77,'G-6 Hedgerow Data'!$B$3:$B$15,0)),"")</f>
        <v/>
      </c>
    </row>
    <row r="78" spans="2:46" ht="14.25" x14ac:dyDescent="0.2">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c r="N78" s="497" t="str">
        <f>IFERROR(IF(B78="","",INDEX('G-6 Hedgerow Data'!$AN$3:$AZ$15,MATCH(C78,'G-6 Hedgerow Data'!$AM$3:$AM$15,0),MATCH(M78,'G-6 Hedgerow Data'!$AN$2:$AZ$2,0))),"")</f>
        <v/>
      </c>
      <c r="O78" s="498" t="str">
        <f t="shared" si="9"/>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0"/>
        <v/>
      </c>
      <c r="AB78" s="520" t="str">
        <f t="shared" si="11"/>
        <v/>
      </c>
      <c r="AC78" s="521" t="str">
        <f t="shared" si="7"/>
        <v/>
      </c>
      <c r="AD78" s="536" t="str">
        <f>IF(M78="","",VLOOKUP(M78,'G-6 Hedgerow Data'!$B$3:$AG$15,31,FALSE))</f>
        <v/>
      </c>
      <c r="AE78" s="506" t="str">
        <f t="shared" si="12"/>
        <v/>
      </c>
      <c r="AF78" s="506" t="str">
        <f t="shared" si="13"/>
        <v/>
      </c>
      <c r="AG78" s="523" t="str">
        <f>IFERROR(IF(O78="","",VLOOKUP(AD78,'G-3 Multipliers'!$P$3:$Q$6,2,FALSE)),"")</f>
        <v/>
      </c>
      <c r="AH78" s="512" t="str">
        <f t="shared" si="8"/>
        <v/>
      </c>
      <c r="AI78" s="230"/>
      <c r="AJ78" s="150"/>
      <c r="AT78" s="31" t="str">
        <f>IFERROR(INDEX('G-6 Hedgerow Data'!$BJ$3:$BJ$15,MATCH(M78,'G-6 Hedgerow Data'!$B$3:$B$15,0)),"")</f>
        <v/>
      </c>
    </row>
    <row r="79" spans="2:46" ht="14.25" x14ac:dyDescent="0.2">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c r="N79" s="497" t="str">
        <f>IFERROR(IF(B79="","",INDEX('G-6 Hedgerow Data'!$AN$3:$AZ$15,MATCH(C79,'G-6 Hedgerow Data'!$AM$3:$AM$15,0),MATCH(M79,'G-6 Hedgerow Data'!$AN$2:$AZ$2,0))),"")</f>
        <v/>
      </c>
      <c r="O79" s="498" t="str">
        <f t="shared" si="9"/>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0"/>
        <v/>
      </c>
      <c r="AB79" s="520" t="str">
        <f t="shared" si="11"/>
        <v/>
      </c>
      <c r="AC79" s="521" t="str">
        <f t="shared" si="7"/>
        <v/>
      </c>
      <c r="AD79" s="536" t="str">
        <f>IF(M79="","",VLOOKUP(M79,'G-6 Hedgerow Data'!$B$3:$AG$15,31,FALSE))</f>
        <v/>
      </c>
      <c r="AE79" s="506" t="str">
        <f t="shared" si="12"/>
        <v/>
      </c>
      <c r="AF79" s="506" t="str">
        <f t="shared" si="13"/>
        <v/>
      </c>
      <c r="AG79" s="523" t="str">
        <f>IFERROR(IF(O79="","",VLOOKUP(AD79,'G-3 Multipliers'!$P$3:$Q$6,2,FALSE)),"")</f>
        <v/>
      </c>
      <c r="AH79" s="512" t="str">
        <f t="shared" si="8"/>
        <v/>
      </c>
      <c r="AI79" s="230"/>
      <c r="AJ79" s="150"/>
      <c r="AT79" s="31" t="str">
        <f>IFERROR(INDEX('G-6 Hedgerow Data'!$BJ$3:$BJ$15,MATCH(M79,'G-6 Hedgerow Data'!$B$3:$B$15,0)),"")</f>
        <v/>
      </c>
    </row>
    <row r="80" spans="2:46" ht="14.25" x14ac:dyDescent="0.2">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c r="N80" s="497" t="str">
        <f>IFERROR(IF(B80="","",INDEX('G-6 Hedgerow Data'!$AN$3:$AZ$15,MATCH(C80,'G-6 Hedgerow Data'!$AM$3:$AM$15,0),MATCH(M80,'G-6 Hedgerow Data'!$AN$2:$AZ$2,0))),"")</f>
        <v/>
      </c>
      <c r="O80" s="498" t="str">
        <f t="shared" si="9"/>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0"/>
        <v/>
      </c>
      <c r="AB80" s="520" t="str">
        <f t="shared" si="11"/>
        <v/>
      </c>
      <c r="AC80" s="521" t="str">
        <f t="shared" si="7"/>
        <v/>
      </c>
      <c r="AD80" s="536" t="str">
        <f>IF(M80="","",VLOOKUP(M80,'G-6 Hedgerow Data'!$B$3:$AG$15,31,FALSE))</f>
        <v/>
      </c>
      <c r="AE80" s="506" t="str">
        <f t="shared" si="12"/>
        <v/>
      </c>
      <c r="AF80" s="506" t="str">
        <f t="shared" si="13"/>
        <v/>
      </c>
      <c r="AG80" s="523" t="str">
        <f>IFERROR(IF(O80="","",VLOOKUP(AD80,'G-3 Multipliers'!$P$3:$Q$6,2,FALSE)),"")</f>
        <v/>
      </c>
      <c r="AH80" s="512" t="str">
        <f t="shared" si="8"/>
        <v/>
      </c>
      <c r="AI80" s="230"/>
      <c r="AJ80" s="150"/>
      <c r="AT80" s="31" t="str">
        <f>IFERROR(INDEX('G-6 Hedgerow Data'!$BJ$3:$BJ$15,MATCH(M80,'G-6 Hedgerow Data'!$B$3:$B$15,0)),"")</f>
        <v/>
      </c>
    </row>
    <row r="81" spans="2:46" ht="14.25" x14ac:dyDescent="0.2">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c r="N81" s="497" t="str">
        <f>IFERROR(IF(B81="","",INDEX('G-6 Hedgerow Data'!$AN$3:$AZ$15,MATCH(C81,'G-6 Hedgerow Data'!$AM$3:$AM$15,0),MATCH(M81,'G-6 Hedgerow Data'!$AN$2:$AZ$2,0))),"")</f>
        <v/>
      </c>
      <c r="O81" s="498" t="str">
        <f t="shared" si="9"/>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0"/>
        <v/>
      </c>
      <c r="AB81" s="520" t="str">
        <f t="shared" si="11"/>
        <v/>
      </c>
      <c r="AC81" s="521" t="str">
        <f t="shared" si="7"/>
        <v/>
      </c>
      <c r="AD81" s="536" t="str">
        <f>IF(M81="","",VLOOKUP(M81,'G-6 Hedgerow Data'!$B$3:$AG$15,31,FALSE))</f>
        <v/>
      </c>
      <c r="AE81" s="506" t="str">
        <f t="shared" si="12"/>
        <v/>
      </c>
      <c r="AF81" s="506" t="str">
        <f t="shared" si="13"/>
        <v/>
      </c>
      <c r="AG81" s="523" t="str">
        <f>IFERROR(IF(O81="","",VLOOKUP(AD81,'G-3 Multipliers'!$P$3:$Q$6,2,FALSE)),"")</f>
        <v/>
      </c>
      <c r="AH81" s="512" t="str">
        <f t="shared" si="8"/>
        <v/>
      </c>
      <c r="AI81" s="230"/>
      <c r="AJ81" s="150"/>
      <c r="AT81" s="31" t="str">
        <f>IFERROR(INDEX('G-6 Hedgerow Data'!$BJ$3:$BJ$15,MATCH(M81,'G-6 Hedgerow Data'!$B$3:$B$15,0)),"")</f>
        <v/>
      </c>
    </row>
    <row r="82" spans="2:46" ht="14.25" x14ac:dyDescent="0.2">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c r="N82" s="497" t="str">
        <f>IFERROR(IF(B82="","",INDEX('G-6 Hedgerow Data'!$AN$3:$AZ$15,MATCH(C82,'G-6 Hedgerow Data'!$AM$3:$AM$15,0),MATCH(M82,'G-6 Hedgerow Data'!$AN$2:$AZ$2,0))),"")</f>
        <v/>
      </c>
      <c r="O82" s="498" t="str">
        <f t="shared" si="9"/>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0"/>
        <v/>
      </c>
      <c r="AB82" s="520" t="str">
        <f t="shared" si="11"/>
        <v/>
      </c>
      <c r="AC82" s="521" t="str">
        <f t="shared" si="7"/>
        <v/>
      </c>
      <c r="AD82" s="536" t="str">
        <f>IF(M82="","",VLOOKUP(M82,'G-6 Hedgerow Data'!$B$3:$AG$15,31,FALSE))</f>
        <v/>
      </c>
      <c r="AE82" s="506" t="str">
        <f t="shared" si="12"/>
        <v/>
      </c>
      <c r="AF82" s="506" t="str">
        <f t="shared" si="13"/>
        <v/>
      </c>
      <c r="AG82" s="523" t="str">
        <f>IFERROR(IF(O82="","",VLOOKUP(AD82,'G-3 Multipliers'!$P$3:$Q$6,2,FALSE)),"")</f>
        <v/>
      </c>
      <c r="AH82" s="512" t="str">
        <f t="shared" si="8"/>
        <v/>
      </c>
      <c r="AI82" s="230"/>
      <c r="AJ82" s="150"/>
      <c r="AT82" s="31" t="str">
        <f>IFERROR(INDEX('G-6 Hedgerow Data'!$BJ$3:$BJ$15,MATCH(M82,'G-6 Hedgerow Data'!$B$3:$B$15,0)),"")</f>
        <v/>
      </c>
    </row>
    <row r="83" spans="2:46" ht="14.25" x14ac:dyDescent="0.2">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c r="N83" s="497" t="str">
        <f>IFERROR(IF(B83="","",INDEX('G-6 Hedgerow Data'!$AN$3:$AZ$15,MATCH(C83,'G-6 Hedgerow Data'!$AM$3:$AM$15,0),MATCH(M83,'G-6 Hedgerow Data'!$AN$2:$AZ$2,0))),"")</f>
        <v/>
      </c>
      <c r="O83" s="498" t="str">
        <f t="shared" si="9"/>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0"/>
        <v/>
      </c>
      <c r="AB83" s="520" t="str">
        <f t="shared" si="11"/>
        <v/>
      </c>
      <c r="AC83" s="521" t="str">
        <f t="shared" si="7"/>
        <v/>
      </c>
      <c r="AD83" s="536" t="str">
        <f>IF(M83="","",VLOOKUP(M83,'G-6 Hedgerow Data'!$B$3:$AG$15,31,FALSE))</f>
        <v/>
      </c>
      <c r="AE83" s="506" t="str">
        <f t="shared" si="12"/>
        <v/>
      </c>
      <c r="AF83" s="506" t="str">
        <f t="shared" si="13"/>
        <v/>
      </c>
      <c r="AG83" s="523" t="str">
        <f>IFERROR(IF(O83="","",VLOOKUP(AD83,'G-3 Multipliers'!$P$3:$Q$6,2,FALSE)),"")</f>
        <v/>
      </c>
      <c r="AH83" s="512" t="str">
        <f t="shared" si="8"/>
        <v/>
      </c>
      <c r="AI83" s="230"/>
      <c r="AJ83" s="150"/>
      <c r="AT83" s="31" t="str">
        <f>IFERROR(INDEX('G-6 Hedgerow Data'!$BJ$3:$BJ$15,MATCH(M83,'G-6 Hedgerow Data'!$B$3:$B$15,0)),"")</f>
        <v/>
      </c>
    </row>
    <row r="84" spans="2:46" ht="14.25" x14ac:dyDescent="0.2">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c r="N84" s="497" t="str">
        <f>IFERROR(IF(B84="","",INDEX('G-6 Hedgerow Data'!$AN$3:$AZ$15,MATCH(C84,'G-6 Hedgerow Data'!$AM$3:$AM$15,0),MATCH(M84,'G-6 Hedgerow Data'!$AN$2:$AZ$2,0))),"")</f>
        <v/>
      </c>
      <c r="O84" s="498" t="str">
        <f t="shared" si="9"/>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0"/>
        <v/>
      </c>
      <c r="AB84" s="520" t="str">
        <f t="shared" si="11"/>
        <v/>
      </c>
      <c r="AC84" s="521" t="str">
        <f t="shared" si="7"/>
        <v/>
      </c>
      <c r="AD84" s="536" t="str">
        <f>IF(M84="","",VLOOKUP(M84,'G-6 Hedgerow Data'!$B$3:$AG$15,31,FALSE))</f>
        <v/>
      </c>
      <c r="AE84" s="506" t="str">
        <f t="shared" si="12"/>
        <v/>
      </c>
      <c r="AF84" s="506" t="str">
        <f t="shared" si="13"/>
        <v/>
      </c>
      <c r="AG84" s="523" t="str">
        <f>IFERROR(IF(O84="","",VLOOKUP(AD84,'G-3 Multipliers'!$P$3:$Q$6,2,FALSE)),"")</f>
        <v/>
      </c>
      <c r="AH84" s="512" t="str">
        <f t="shared" si="8"/>
        <v/>
      </c>
      <c r="AI84" s="230"/>
      <c r="AJ84" s="150"/>
      <c r="AT84" s="31" t="str">
        <f>IFERROR(INDEX('G-6 Hedgerow Data'!$BJ$3:$BJ$15,MATCH(M84,'G-6 Hedgerow Data'!$B$3:$B$15,0)),"")</f>
        <v/>
      </c>
    </row>
    <row r="85" spans="2:46" ht="14.25" x14ac:dyDescent="0.2">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c r="N85" s="497" t="str">
        <f>IFERROR(IF(B85="","",INDEX('G-6 Hedgerow Data'!$AN$3:$AZ$15,MATCH(C85,'G-6 Hedgerow Data'!$AM$3:$AM$15,0),MATCH(M85,'G-6 Hedgerow Data'!$AN$2:$AZ$2,0))),"")</f>
        <v/>
      </c>
      <c r="O85" s="498" t="str">
        <f t="shared" si="9"/>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0"/>
        <v/>
      </c>
      <c r="AB85" s="520" t="str">
        <f t="shared" si="11"/>
        <v/>
      </c>
      <c r="AC85" s="521" t="str">
        <f t="shared" si="7"/>
        <v/>
      </c>
      <c r="AD85" s="536" t="str">
        <f>IF(M85="","",VLOOKUP(M85,'G-6 Hedgerow Data'!$B$3:$AG$15,31,FALSE))</f>
        <v/>
      </c>
      <c r="AE85" s="506" t="str">
        <f t="shared" si="12"/>
        <v/>
      </c>
      <c r="AF85" s="506" t="str">
        <f t="shared" si="13"/>
        <v/>
      </c>
      <c r="AG85" s="523" t="str">
        <f>IFERROR(IF(O85="","",VLOOKUP(AD85,'G-3 Multipliers'!$P$3:$Q$6,2,FALSE)),"")</f>
        <v/>
      </c>
      <c r="AH85" s="512" t="str">
        <f t="shared" si="8"/>
        <v/>
      </c>
      <c r="AI85" s="230"/>
      <c r="AJ85" s="150"/>
      <c r="AT85" s="31" t="str">
        <f>IFERROR(INDEX('G-6 Hedgerow Data'!$BJ$3:$BJ$15,MATCH(M85,'G-6 Hedgerow Data'!$B$3:$B$15,0)),"")</f>
        <v/>
      </c>
    </row>
    <row r="86" spans="2:46" ht="14.25" x14ac:dyDescent="0.2">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c r="N86" s="497" t="str">
        <f>IFERROR(IF(B86="","",INDEX('G-6 Hedgerow Data'!$AN$3:$AZ$15,MATCH(C86,'G-6 Hedgerow Data'!$AM$3:$AM$15,0),MATCH(M86,'G-6 Hedgerow Data'!$AN$2:$AZ$2,0))),"")</f>
        <v/>
      </c>
      <c r="O86" s="498" t="str">
        <f t="shared" si="9"/>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0"/>
        <v/>
      </c>
      <c r="AB86" s="520" t="str">
        <f t="shared" si="11"/>
        <v/>
      </c>
      <c r="AC86" s="521" t="str">
        <f t="shared" si="7"/>
        <v/>
      </c>
      <c r="AD86" s="536" t="str">
        <f>IF(M86="","",VLOOKUP(M86,'G-6 Hedgerow Data'!$B$3:$AG$15,31,FALSE))</f>
        <v/>
      </c>
      <c r="AE86" s="506" t="str">
        <f t="shared" si="12"/>
        <v/>
      </c>
      <c r="AF86" s="506" t="str">
        <f t="shared" si="13"/>
        <v/>
      </c>
      <c r="AG86" s="523" t="str">
        <f>IFERROR(IF(O86="","",VLOOKUP(AD86,'G-3 Multipliers'!$P$3:$Q$6,2,FALSE)),"")</f>
        <v/>
      </c>
      <c r="AH86" s="512" t="str">
        <f t="shared" si="8"/>
        <v/>
      </c>
      <c r="AI86" s="230"/>
      <c r="AJ86" s="150"/>
      <c r="AT86" s="31" t="str">
        <f>IFERROR(INDEX('G-6 Hedgerow Data'!$BJ$3:$BJ$15,MATCH(M86,'G-6 Hedgerow Data'!$B$3:$B$15,0)),"")</f>
        <v/>
      </c>
    </row>
    <row r="87" spans="2:46" ht="14.25" x14ac:dyDescent="0.2">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c r="N87" s="497" t="str">
        <f>IFERROR(IF(B87="","",INDEX('G-6 Hedgerow Data'!$AN$3:$AZ$15,MATCH(C87,'G-6 Hedgerow Data'!$AM$3:$AM$15,0),MATCH(M87,'G-6 Hedgerow Data'!$AN$2:$AZ$2,0))),"")</f>
        <v/>
      </c>
      <c r="O87" s="498" t="str">
        <f t="shared" si="9"/>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0"/>
        <v/>
      </c>
      <c r="AB87" s="520" t="str">
        <f t="shared" si="11"/>
        <v/>
      </c>
      <c r="AC87" s="521" t="str">
        <f t="shared" si="7"/>
        <v/>
      </c>
      <c r="AD87" s="536" t="str">
        <f>IF(M87="","",VLOOKUP(M87,'G-6 Hedgerow Data'!$B$3:$AG$15,31,FALSE))</f>
        <v/>
      </c>
      <c r="AE87" s="506" t="str">
        <f t="shared" si="12"/>
        <v/>
      </c>
      <c r="AF87" s="506" t="str">
        <f t="shared" si="13"/>
        <v/>
      </c>
      <c r="AG87" s="523" t="str">
        <f>IFERROR(IF(O87="","",VLOOKUP(AD87,'G-3 Multipliers'!$P$3:$Q$6,2,FALSE)),"")</f>
        <v/>
      </c>
      <c r="AH87" s="512" t="str">
        <f t="shared" si="8"/>
        <v/>
      </c>
      <c r="AI87" s="230"/>
      <c r="AJ87" s="150"/>
      <c r="AT87" s="31" t="str">
        <f>IFERROR(INDEX('G-6 Hedgerow Data'!$BJ$3:$BJ$15,MATCH(M87,'G-6 Hedgerow Data'!$B$3:$B$15,0)),"")</f>
        <v/>
      </c>
    </row>
    <row r="88" spans="2:46" ht="14.25" x14ac:dyDescent="0.2">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c r="N88" s="497" t="str">
        <f>IFERROR(IF(B88="","",INDEX('G-6 Hedgerow Data'!$AN$3:$AZ$15,MATCH(C88,'G-6 Hedgerow Data'!$AM$3:$AM$15,0),MATCH(M88,'G-6 Hedgerow Data'!$AN$2:$AZ$2,0))),"")</f>
        <v/>
      </c>
      <c r="O88" s="498" t="str">
        <f t="shared" si="9"/>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0"/>
        <v/>
      </c>
      <c r="AB88" s="520" t="str">
        <f t="shared" si="11"/>
        <v/>
      </c>
      <c r="AC88" s="521" t="str">
        <f t="shared" si="7"/>
        <v/>
      </c>
      <c r="AD88" s="536" t="str">
        <f>IF(M88="","",VLOOKUP(M88,'G-6 Hedgerow Data'!$B$3:$AG$15,31,FALSE))</f>
        <v/>
      </c>
      <c r="AE88" s="506" t="str">
        <f t="shared" si="12"/>
        <v/>
      </c>
      <c r="AF88" s="506" t="str">
        <f t="shared" si="13"/>
        <v/>
      </c>
      <c r="AG88" s="523" t="str">
        <f>IFERROR(IF(O88="","",VLOOKUP(AD88,'G-3 Multipliers'!$P$3:$Q$6,2,FALSE)),"")</f>
        <v/>
      </c>
      <c r="AH88" s="512" t="str">
        <f t="shared" si="8"/>
        <v/>
      </c>
      <c r="AI88" s="230"/>
      <c r="AJ88" s="150"/>
      <c r="AT88" s="31" t="str">
        <f>IFERROR(INDEX('G-6 Hedgerow Data'!$BJ$3:$BJ$15,MATCH(M88,'G-6 Hedgerow Data'!$B$3:$B$15,0)),"")</f>
        <v/>
      </c>
    </row>
    <row r="89" spans="2:46" ht="14.25" x14ac:dyDescent="0.2">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c r="N89" s="497" t="str">
        <f>IFERROR(IF(B89="","",INDEX('G-6 Hedgerow Data'!$AN$3:$AZ$15,MATCH(C89,'G-6 Hedgerow Data'!$AM$3:$AM$15,0),MATCH(M89,'G-6 Hedgerow Data'!$AN$2:$AZ$2,0))),"")</f>
        <v/>
      </c>
      <c r="O89" s="498" t="str">
        <f t="shared" si="9"/>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0"/>
        <v/>
      </c>
      <c r="AB89" s="520" t="str">
        <f t="shared" si="11"/>
        <v/>
      </c>
      <c r="AC89" s="521" t="str">
        <f t="shared" si="7"/>
        <v/>
      </c>
      <c r="AD89" s="536" t="str">
        <f>IF(M89="","",VLOOKUP(M89,'G-6 Hedgerow Data'!$B$3:$AG$15,31,FALSE))</f>
        <v/>
      </c>
      <c r="AE89" s="506" t="str">
        <f t="shared" si="12"/>
        <v/>
      </c>
      <c r="AF89" s="506" t="str">
        <f t="shared" si="13"/>
        <v/>
      </c>
      <c r="AG89" s="523" t="str">
        <f>IFERROR(IF(O89="","",VLOOKUP(AD89,'G-3 Multipliers'!$P$3:$Q$6,2,FALSE)),"")</f>
        <v/>
      </c>
      <c r="AH89" s="512" t="str">
        <f t="shared" si="8"/>
        <v/>
      </c>
      <c r="AI89" s="230"/>
      <c r="AJ89" s="150"/>
      <c r="AT89" s="31" t="str">
        <f>IFERROR(INDEX('G-6 Hedgerow Data'!$BJ$3:$BJ$15,MATCH(M89,'G-6 Hedgerow Data'!$B$3:$B$15,0)),"")</f>
        <v/>
      </c>
    </row>
    <row r="90" spans="2:46" ht="14.25" x14ac:dyDescent="0.2">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c r="N90" s="497" t="str">
        <f>IFERROR(IF(B90="","",INDEX('G-6 Hedgerow Data'!$AN$3:$AZ$15,MATCH(C90,'G-6 Hedgerow Data'!$AM$3:$AM$15,0),MATCH(M90,'G-6 Hedgerow Data'!$AN$2:$AZ$2,0))),"")</f>
        <v/>
      </c>
      <c r="O90" s="498" t="str">
        <f t="shared" si="9"/>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0"/>
        <v/>
      </c>
      <c r="AB90" s="520" t="str">
        <f t="shared" si="11"/>
        <v/>
      </c>
      <c r="AC90" s="521" t="str">
        <f t="shared" si="7"/>
        <v/>
      </c>
      <c r="AD90" s="536" t="str">
        <f>IF(M90="","",VLOOKUP(M90,'G-6 Hedgerow Data'!$B$3:$AG$15,31,FALSE))</f>
        <v/>
      </c>
      <c r="AE90" s="506" t="str">
        <f t="shared" si="12"/>
        <v/>
      </c>
      <c r="AF90" s="506" t="str">
        <f t="shared" si="13"/>
        <v/>
      </c>
      <c r="AG90" s="523" t="str">
        <f>IFERROR(IF(O90="","",VLOOKUP(AD90,'G-3 Multipliers'!$P$3:$Q$6,2,FALSE)),"")</f>
        <v/>
      </c>
      <c r="AH90" s="512" t="str">
        <f t="shared" si="8"/>
        <v/>
      </c>
      <c r="AI90" s="230"/>
      <c r="AJ90" s="150"/>
      <c r="AT90" s="31" t="str">
        <f>IFERROR(INDEX('G-6 Hedgerow Data'!$BJ$3:$BJ$15,MATCH(M90,'G-6 Hedgerow Data'!$B$3:$B$15,0)),"")</f>
        <v/>
      </c>
    </row>
    <row r="91" spans="2:46" ht="14.25" x14ac:dyDescent="0.2">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c r="N91" s="497" t="str">
        <f>IFERROR(IF(B91="","",INDEX('G-6 Hedgerow Data'!$AN$3:$AZ$15,MATCH(C91,'G-6 Hedgerow Data'!$AM$3:$AM$15,0),MATCH(M91,'G-6 Hedgerow Data'!$AN$2:$AZ$2,0))),"")</f>
        <v/>
      </c>
      <c r="O91" s="498" t="str">
        <f t="shared" si="9"/>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0"/>
        <v/>
      </c>
      <c r="AB91" s="520" t="str">
        <f t="shared" si="11"/>
        <v/>
      </c>
      <c r="AC91" s="521" t="str">
        <f t="shared" si="7"/>
        <v/>
      </c>
      <c r="AD91" s="536" t="str">
        <f>IF(M91="","",VLOOKUP(M91,'G-6 Hedgerow Data'!$B$3:$AG$15,31,FALSE))</f>
        <v/>
      </c>
      <c r="AE91" s="506" t="str">
        <f t="shared" si="12"/>
        <v/>
      </c>
      <c r="AF91" s="506" t="str">
        <f t="shared" si="13"/>
        <v/>
      </c>
      <c r="AG91" s="523" t="str">
        <f>IFERROR(IF(O91="","",VLOOKUP(AD91,'G-3 Multipliers'!$P$3:$Q$6,2,FALSE)),"")</f>
        <v/>
      </c>
      <c r="AH91" s="512" t="str">
        <f t="shared" si="8"/>
        <v/>
      </c>
      <c r="AI91" s="230"/>
      <c r="AJ91" s="150"/>
      <c r="AT91" s="31" t="str">
        <f>IFERROR(INDEX('G-6 Hedgerow Data'!$BJ$3:$BJ$15,MATCH(M91,'G-6 Hedgerow Data'!$B$3:$B$15,0)),"")</f>
        <v/>
      </c>
    </row>
    <row r="92" spans="2:46" ht="14.25" x14ac:dyDescent="0.2">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c r="N92" s="497" t="str">
        <f>IFERROR(IF(B92="","",INDEX('G-6 Hedgerow Data'!$AN$3:$AZ$15,MATCH(C92,'G-6 Hedgerow Data'!$AM$3:$AM$15,0),MATCH(M92,'G-6 Hedgerow Data'!$AN$2:$AZ$2,0))),"")</f>
        <v/>
      </c>
      <c r="O92" s="498" t="str">
        <f t="shared" si="9"/>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0"/>
        <v/>
      </c>
      <c r="AB92" s="520" t="str">
        <f t="shared" si="11"/>
        <v/>
      </c>
      <c r="AC92" s="521" t="str">
        <f t="shared" si="7"/>
        <v/>
      </c>
      <c r="AD92" s="536" t="str">
        <f>IF(M92="","",VLOOKUP(M92,'G-6 Hedgerow Data'!$B$3:$AG$15,31,FALSE))</f>
        <v/>
      </c>
      <c r="AE92" s="506" t="str">
        <f t="shared" si="12"/>
        <v/>
      </c>
      <c r="AF92" s="506" t="str">
        <f t="shared" si="13"/>
        <v/>
      </c>
      <c r="AG92" s="523" t="str">
        <f>IFERROR(IF(O92="","",VLOOKUP(AD92,'G-3 Multipliers'!$P$3:$Q$6,2,FALSE)),"")</f>
        <v/>
      </c>
      <c r="AH92" s="512" t="str">
        <f t="shared" si="8"/>
        <v/>
      </c>
      <c r="AI92" s="230"/>
      <c r="AJ92" s="150"/>
      <c r="AT92" s="31" t="str">
        <f>IFERROR(INDEX('G-6 Hedgerow Data'!$BJ$3:$BJ$15,MATCH(M92,'G-6 Hedgerow Data'!$B$3:$B$15,0)),"")</f>
        <v/>
      </c>
    </row>
    <row r="93" spans="2:46" ht="14.25" x14ac:dyDescent="0.2">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c r="N93" s="497" t="str">
        <f>IFERROR(IF(B93="","",INDEX('G-6 Hedgerow Data'!$AN$3:$AZ$15,MATCH(C93,'G-6 Hedgerow Data'!$AM$3:$AM$15,0),MATCH(M93,'G-6 Hedgerow Data'!$AN$2:$AZ$2,0))),"")</f>
        <v/>
      </c>
      <c r="O93" s="498" t="str">
        <f t="shared" si="9"/>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0"/>
        <v/>
      </c>
      <c r="AB93" s="520" t="str">
        <f t="shared" si="11"/>
        <v/>
      </c>
      <c r="AC93" s="521" t="str">
        <f t="shared" si="7"/>
        <v/>
      </c>
      <c r="AD93" s="536" t="str">
        <f>IF(M93="","",VLOOKUP(M93,'G-6 Hedgerow Data'!$B$3:$AG$15,31,FALSE))</f>
        <v/>
      </c>
      <c r="AE93" s="506" t="str">
        <f t="shared" si="12"/>
        <v/>
      </c>
      <c r="AF93" s="506" t="str">
        <f t="shared" si="13"/>
        <v/>
      </c>
      <c r="AG93" s="523" t="str">
        <f>IFERROR(IF(O93="","",VLOOKUP(AD93,'G-3 Multipliers'!$P$3:$Q$6,2,FALSE)),"")</f>
        <v/>
      </c>
      <c r="AH93" s="512" t="str">
        <f t="shared" si="8"/>
        <v/>
      </c>
      <c r="AI93" s="230"/>
      <c r="AJ93" s="150"/>
      <c r="AT93" s="31" t="str">
        <f>IFERROR(INDEX('G-6 Hedgerow Data'!$BJ$3:$BJ$15,MATCH(M93,'G-6 Hedgerow Data'!$B$3:$B$15,0)),"")</f>
        <v/>
      </c>
    </row>
    <row r="94" spans="2:46" ht="14.25" x14ac:dyDescent="0.2">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c r="N94" s="497" t="str">
        <f>IFERROR(IF(B94="","",INDEX('G-6 Hedgerow Data'!$AN$3:$AZ$15,MATCH(C94,'G-6 Hedgerow Data'!$AM$3:$AM$15,0),MATCH(M94,'G-6 Hedgerow Data'!$AN$2:$AZ$2,0))),"")</f>
        <v/>
      </c>
      <c r="O94" s="498" t="str">
        <f t="shared" si="9"/>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0"/>
        <v/>
      </c>
      <c r="AB94" s="520" t="str">
        <f t="shared" si="11"/>
        <v/>
      </c>
      <c r="AC94" s="521" t="str">
        <f t="shared" si="7"/>
        <v/>
      </c>
      <c r="AD94" s="536" t="str">
        <f>IF(M94="","",VLOOKUP(M94,'G-6 Hedgerow Data'!$B$3:$AG$15,31,FALSE))</f>
        <v/>
      </c>
      <c r="AE94" s="506" t="str">
        <f t="shared" si="12"/>
        <v/>
      </c>
      <c r="AF94" s="506" t="str">
        <f t="shared" si="13"/>
        <v/>
      </c>
      <c r="AG94" s="523" t="str">
        <f>IFERROR(IF(O94="","",VLOOKUP(AD94,'G-3 Multipliers'!$P$3:$Q$6,2,FALSE)),"")</f>
        <v/>
      </c>
      <c r="AH94" s="512" t="str">
        <f t="shared" si="8"/>
        <v/>
      </c>
      <c r="AI94" s="230"/>
      <c r="AJ94" s="150"/>
      <c r="AT94" s="31" t="str">
        <f>IFERROR(INDEX('G-6 Hedgerow Data'!$BJ$3:$BJ$15,MATCH(M94,'G-6 Hedgerow Data'!$B$3:$B$15,0)),"")</f>
        <v/>
      </c>
    </row>
    <row r="95" spans="2:46" ht="14.25" x14ac:dyDescent="0.2">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c r="N95" s="497" t="str">
        <f>IFERROR(IF(B95="","",INDEX('G-6 Hedgerow Data'!$AN$3:$AZ$15,MATCH(C95,'G-6 Hedgerow Data'!$AM$3:$AM$15,0),MATCH(M95,'G-6 Hedgerow Data'!$AN$2:$AZ$2,0))),"")</f>
        <v/>
      </c>
      <c r="O95" s="498" t="str">
        <f t="shared" si="9"/>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0"/>
        <v/>
      </c>
      <c r="AB95" s="520" t="str">
        <f t="shared" si="11"/>
        <v/>
      </c>
      <c r="AC95" s="521" t="str">
        <f t="shared" si="7"/>
        <v/>
      </c>
      <c r="AD95" s="536" t="str">
        <f>IF(M95="","",VLOOKUP(M95,'G-6 Hedgerow Data'!$B$3:$AG$15,31,FALSE))</f>
        <v/>
      </c>
      <c r="AE95" s="506" t="str">
        <f t="shared" si="12"/>
        <v/>
      </c>
      <c r="AF95" s="506" t="str">
        <f t="shared" si="13"/>
        <v/>
      </c>
      <c r="AG95" s="523" t="str">
        <f>IFERROR(IF(O95="","",VLOOKUP(AD95,'G-3 Multipliers'!$P$3:$Q$6,2,FALSE)),"")</f>
        <v/>
      </c>
      <c r="AH95" s="512" t="str">
        <f t="shared" si="8"/>
        <v/>
      </c>
      <c r="AI95" s="230"/>
      <c r="AJ95" s="150"/>
      <c r="AT95" s="31" t="str">
        <f>IFERROR(INDEX('G-6 Hedgerow Data'!$BJ$3:$BJ$15,MATCH(M95,'G-6 Hedgerow Data'!$B$3:$B$15,0)),"")</f>
        <v/>
      </c>
    </row>
    <row r="96" spans="2:46" ht="14.25" x14ac:dyDescent="0.2">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c r="N96" s="497" t="str">
        <f>IFERROR(IF(B96="","",INDEX('G-6 Hedgerow Data'!$AN$3:$AZ$15,MATCH(C96,'G-6 Hedgerow Data'!$AM$3:$AM$15,0),MATCH(M96,'G-6 Hedgerow Data'!$AN$2:$AZ$2,0))),"")</f>
        <v/>
      </c>
      <c r="O96" s="498" t="str">
        <f t="shared" si="9"/>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0"/>
        <v/>
      </c>
      <c r="AB96" s="520" t="str">
        <f t="shared" si="11"/>
        <v/>
      </c>
      <c r="AC96" s="521" t="str">
        <f t="shared" si="7"/>
        <v/>
      </c>
      <c r="AD96" s="536" t="str">
        <f>IF(M96="","",VLOOKUP(M96,'G-6 Hedgerow Data'!$B$3:$AG$15,31,FALSE))</f>
        <v/>
      </c>
      <c r="AE96" s="506" t="str">
        <f t="shared" si="12"/>
        <v/>
      </c>
      <c r="AF96" s="506" t="str">
        <f t="shared" si="13"/>
        <v/>
      </c>
      <c r="AG96" s="523" t="str">
        <f>IFERROR(IF(O96="","",VLOOKUP(AD96,'G-3 Multipliers'!$P$3:$Q$6,2,FALSE)),"")</f>
        <v/>
      </c>
      <c r="AH96" s="512" t="str">
        <f t="shared" si="8"/>
        <v/>
      </c>
      <c r="AI96" s="230"/>
      <c r="AJ96" s="150"/>
      <c r="AT96" s="31" t="str">
        <f>IFERROR(INDEX('G-6 Hedgerow Data'!$BJ$3:$BJ$15,MATCH(M96,'G-6 Hedgerow Data'!$B$3:$B$15,0)),"")</f>
        <v/>
      </c>
    </row>
    <row r="97" spans="2:46" ht="14.25" x14ac:dyDescent="0.2">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c r="N97" s="497" t="str">
        <f>IFERROR(IF(B97="","",INDEX('G-6 Hedgerow Data'!$AN$3:$AZ$15,MATCH(C97,'G-6 Hedgerow Data'!$AM$3:$AM$15,0),MATCH(M97,'G-6 Hedgerow Data'!$AN$2:$AZ$2,0))),"")</f>
        <v/>
      </c>
      <c r="O97" s="498" t="str">
        <f t="shared" si="9"/>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0"/>
        <v/>
      </c>
      <c r="AB97" s="520" t="str">
        <f t="shared" si="11"/>
        <v/>
      </c>
      <c r="AC97" s="521" t="str">
        <f t="shared" si="7"/>
        <v/>
      </c>
      <c r="AD97" s="536" t="str">
        <f>IF(M97="","",VLOOKUP(M97,'G-6 Hedgerow Data'!$B$3:$AG$15,31,FALSE))</f>
        <v/>
      </c>
      <c r="AE97" s="506" t="str">
        <f t="shared" si="12"/>
        <v/>
      </c>
      <c r="AF97" s="506" t="str">
        <f t="shared" si="13"/>
        <v/>
      </c>
      <c r="AG97" s="523" t="str">
        <f>IFERROR(IF(O97="","",VLOOKUP(AD97,'G-3 Multipliers'!$P$3:$Q$6,2,FALSE)),"")</f>
        <v/>
      </c>
      <c r="AH97" s="512" t="str">
        <f t="shared" si="8"/>
        <v/>
      </c>
      <c r="AI97" s="230"/>
      <c r="AJ97" s="150"/>
      <c r="AT97" s="31" t="str">
        <f>IFERROR(INDEX('G-6 Hedgerow Data'!$BJ$3:$BJ$15,MATCH(M97,'G-6 Hedgerow Data'!$B$3:$B$15,0)),"")</f>
        <v/>
      </c>
    </row>
    <row r="98" spans="2:46" ht="14.25" x14ac:dyDescent="0.2">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c r="N98" s="497" t="str">
        <f>IFERROR(IF(B98="","",INDEX('G-6 Hedgerow Data'!$AN$3:$AZ$15,MATCH(C98,'G-6 Hedgerow Data'!$AM$3:$AM$15,0),MATCH(M98,'G-6 Hedgerow Data'!$AN$2:$AZ$2,0))),"")</f>
        <v/>
      </c>
      <c r="O98" s="498" t="str">
        <f t="shared" si="9"/>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0"/>
        <v/>
      </c>
      <c r="AB98" s="520" t="str">
        <f t="shared" si="11"/>
        <v/>
      </c>
      <c r="AC98" s="521" t="str">
        <f t="shared" si="7"/>
        <v/>
      </c>
      <c r="AD98" s="536" t="str">
        <f>IF(M98="","",VLOOKUP(M98,'G-6 Hedgerow Data'!$B$3:$AG$15,31,FALSE))</f>
        <v/>
      </c>
      <c r="AE98" s="506" t="str">
        <f t="shared" si="12"/>
        <v/>
      </c>
      <c r="AF98" s="506" t="str">
        <f t="shared" si="13"/>
        <v/>
      </c>
      <c r="AG98" s="523" t="str">
        <f>IFERROR(IF(O98="","",VLOOKUP(AD98,'G-3 Multipliers'!$P$3:$Q$6,2,FALSE)),"")</f>
        <v/>
      </c>
      <c r="AH98" s="512" t="str">
        <f t="shared" si="8"/>
        <v/>
      </c>
      <c r="AI98" s="230"/>
      <c r="AJ98" s="150"/>
      <c r="AT98" s="31" t="str">
        <f>IFERROR(INDEX('G-6 Hedgerow Data'!$BJ$3:$BJ$15,MATCH(M98,'G-6 Hedgerow Data'!$B$3:$B$15,0)),"")</f>
        <v/>
      </c>
    </row>
    <row r="99" spans="2:46" ht="14.25" x14ac:dyDescent="0.2">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c r="N99" s="497" t="str">
        <f>IFERROR(IF(B99="","",INDEX('G-6 Hedgerow Data'!$AN$3:$AZ$15,MATCH(C99,'G-6 Hedgerow Data'!$AM$3:$AM$15,0),MATCH(M99,'G-6 Hedgerow Data'!$AN$2:$AZ$2,0))),"")</f>
        <v/>
      </c>
      <c r="O99" s="498" t="str">
        <f t="shared" si="9"/>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0"/>
        <v/>
      </c>
      <c r="AB99" s="520" t="str">
        <f t="shared" si="11"/>
        <v/>
      </c>
      <c r="AC99" s="521" t="str">
        <f t="shared" si="7"/>
        <v/>
      </c>
      <c r="AD99" s="536" t="str">
        <f>IF(M99="","",VLOOKUP(M99,'G-6 Hedgerow Data'!$B$3:$AG$15,31,FALSE))</f>
        <v/>
      </c>
      <c r="AE99" s="506" t="str">
        <f t="shared" si="12"/>
        <v/>
      </c>
      <c r="AF99" s="506" t="str">
        <f t="shared" si="13"/>
        <v/>
      </c>
      <c r="AG99" s="523" t="str">
        <f>IFERROR(IF(O99="","",VLOOKUP(AD99,'G-3 Multipliers'!$P$3:$Q$6,2,FALSE)),"")</f>
        <v/>
      </c>
      <c r="AH99" s="512" t="str">
        <f t="shared" si="8"/>
        <v/>
      </c>
      <c r="AI99" s="230"/>
      <c r="AJ99" s="150"/>
      <c r="AT99" s="31" t="str">
        <f>IFERROR(INDEX('G-6 Hedgerow Data'!$BJ$3:$BJ$15,MATCH(M99,'G-6 Hedgerow Data'!$B$3:$B$15,0)),"")</f>
        <v/>
      </c>
    </row>
    <row r="100" spans="2:46" ht="14.25" x14ac:dyDescent="0.2">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c r="N100" s="497" t="str">
        <f>IFERROR(IF(B100="","",INDEX('G-6 Hedgerow Data'!$AN$3:$AZ$15,MATCH(C100,'G-6 Hedgerow Data'!$AM$3:$AM$15,0),MATCH(M100,'G-6 Hedgerow Data'!$AN$2:$AZ$2,0))),"")</f>
        <v/>
      </c>
      <c r="O100" s="498" t="str">
        <f t="shared" si="9"/>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0"/>
        <v/>
      </c>
      <c r="AB100" s="520" t="str">
        <f t="shared" si="11"/>
        <v/>
      </c>
      <c r="AC100" s="521" t="str">
        <f t="shared" si="7"/>
        <v/>
      </c>
      <c r="AD100" s="536" t="str">
        <f>IF(M100="","",VLOOKUP(M100,'G-6 Hedgerow Data'!$B$3:$AG$15,31,FALSE))</f>
        <v/>
      </c>
      <c r="AE100" s="506" t="str">
        <f t="shared" si="12"/>
        <v/>
      </c>
      <c r="AF100" s="506" t="str">
        <f t="shared" si="13"/>
        <v/>
      </c>
      <c r="AG100" s="523" t="str">
        <f>IFERROR(IF(O100="","",VLOOKUP(AD100,'G-3 Multipliers'!$P$3:$Q$6,2,FALSE)),"")</f>
        <v/>
      </c>
      <c r="AH100" s="512" t="str">
        <f t="shared" si="8"/>
        <v/>
      </c>
      <c r="AI100" s="230"/>
      <c r="AJ100" s="150"/>
      <c r="AT100" s="31" t="str">
        <f>IFERROR(INDEX('G-6 Hedgerow Data'!$BJ$3:$BJ$15,MATCH(M100,'G-6 Hedgerow Data'!$B$3:$B$15,0)),"")</f>
        <v/>
      </c>
    </row>
    <row r="101" spans="2:46" ht="14.25" x14ac:dyDescent="0.2">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c r="N101" s="497" t="str">
        <f>IFERROR(IF(B101="","",INDEX('G-6 Hedgerow Data'!$AN$3:$AZ$15,MATCH(C101,'G-6 Hedgerow Data'!$AM$3:$AM$15,0),MATCH(M101,'G-6 Hedgerow Data'!$AN$2:$AZ$2,0))),"")</f>
        <v/>
      </c>
      <c r="O101" s="498" t="str">
        <f t="shared" si="9"/>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0"/>
        <v/>
      </c>
      <c r="AB101" s="520" t="str">
        <f t="shared" si="11"/>
        <v/>
      </c>
      <c r="AC101" s="521" t="str">
        <f t="shared" si="7"/>
        <v/>
      </c>
      <c r="AD101" s="536" t="str">
        <f>IF(M101="","",VLOOKUP(M101,'G-6 Hedgerow Data'!$B$3:$AG$15,31,FALSE))</f>
        <v/>
      </c>
      <c r="AE101" s="506" t="str">
        <f t="shared" si="12"/>
        <v/>
      </c>
      <c r="AF101" s="506" t="str">
        <f t="shared" si="13"/>
        <v/>
      </c>
      <c r="AG101" s="523" t="str">
        <f>IFERROR(IF(O101="","",VLOOKUP(AD101,'G-3 Multipliers'!$P$3:$Q$6,2,FALSE)),"")</f>
        <v/>
      </c>
      <c r="AH101" s="512" t="str">
        <f t="shared" si="8"/>
        <v/>
      </c>
      <c r="AI101" s="230"/>
      <c r="AJ101" s="150"/>
      <c r="AT101" s="31" t="str">
        <f>IFERROR(INDEX('G-6 Hedgerow Data'!$BJ$3:$BJ$15,MATCH(M101,'G-6 Hedgerow Data'!$B$3:$B$15,0)),"")</f>
        <v/>
      </c>
    </row>
    <row r="102" spans="2:46" ht="14.25" x14ac:dyDescent="0.2">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c r="N102" s="497" t="str">
        <f>IFERROR(IF(B102="","",INDEX('G-6 Hedgerow Data'!$AN$3:$AZ$15,MATCH(C102,'G-6 Hedgerow Data'!$AM$3:$AM$15,0),MATCH(M102,'G-6 Hedgerow Data'!$AN$2:$AZ$2,0))),"")</f>
        <v/>
      </c>
      <c r="O102" s="498" t="str">
        <f t="shared" si="9"/>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0"/>
        <v/>
      </c>
      <c r="AB102" s="520" t="str">
        <f t="shared" si="11"/>
        <v/>
      </c>
      <c r="AC102" s="521" t="str">
        <f t="shared" si="7"/>
        <v/>
      </c>
      <c r="AD102" s="536" t="str">
        <f>IF(M102="","",VLOOKUP(M102,'G-6 Hedgerow Data'!$B$3:$AG$15,31,FALSE))</f>
        <v/>
      </c>
      <c r="AE102" s="506" t="str">
        <f t="shared" si="12"/>
        <v/>
      </c>
      <c r="AF102" s="506" t="str">
        <f t="shared" si="13"/>
        <v/>
      </c>
      <c r="AG102" s="523" t="str">
        <f>IFERROR(IF(O102="","",VLOOKUP(AD102,'G-3 Multipliers'!$P$3:$Q$6,2,FALSE)),"")</f>
        <v/>
      </c>
      <c r="AH102" s="512" t="str">
        <f t="shared" si="8"/>
        <v/>
      </c>
      <c r="AI102" s="230"/>
      <c r="AJ102" s="150"/>
      <c r="AT102" s="31" t="str">
        <f>IFERROR(INDEX('G-6 Hedgerow Data'!$BJ$3:$BJ$15,MATCH(M102,'G-6 Hedgerow Data'!$B$3:$B$15,0)),"")</f>
        <v/>
      </c>
    </row>
    <row r="103" spans="2:46" ht="14.25" x14ac:dyDescent="0.2">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c r="N103" s="497" t="str">
        <f>IFERROR(IF(B103="","",INDEX('G-6 Hedgerow Data'!$AN$3:$AZ$15,MATCH(C103,'G-6 Hedgerow Data'!$AM$3:$AM$15,0),MATCH(M103,'G-6 Hedgerow Data'!$AN$2:$AZ$2,0))),"")</f>
        <v/>
      </c>
      <c r="O103" s="498" t="str">
        <f t="shared" si="9"/>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0"/>
        <v/>
      </c>
      <c r="AB103" s="520" t="str">
        <f t="shared" si="11"/>
        <v/>
      </c>
      <c r="AC103" s="521" t="str">
        <f t="shared" si="7"/>
        <v/>
      </c>
      <c r="AD103" s="536" t="str">
        <f>IF(M103="","",VLOOKUP(M103,'G-6 Hedgerow Data'!$B$3:$AG$15,31,FALSE))</f>
        <v/>
      </c>
      <c r="AE103" s="506" t="str">
        <f t="shared" si="12"/>
        <v/>
      </c>
      <c r="AF103" s="506" t="str">
        <f t="shared" si="13"/>
        <v/>
      </c>
      <c r="AG103" s="523" t="str">
        <f>IFERROR(IF(O103="","",VLOOKUP(AD103,'G-3 Multipliers'!$P$3:$Q$6,2,FALSE)),"")</f>
        <v/>
      </c>
      <c r="AH103" s="512" t="str">
        <f t="shared" si="8"/>
        <v/>
      </c>
      <c r="AI103" s="230"/>
      <c r="AJ103" s="150"/>
      <c r="AT103" s="31" t="str">
        <f>IFERROR(INDEX('G-6 Hedgerow Data'!$BJ$3:$BJ$15,MATCH(M103,'G-6 Hedgerow Data'!$B$3:$B$15,0)),"")</f>
        <v/>
      </c>
    </row>
    <row r="104" spans="2:46" ht="14.25" x14ac:dyDescent="0.2">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c r="N104" s="497" t="str">
        <f>IFERROR(IF(B104="","",INDEX('G-6 Hedgerow Data'!$AN$3:$AZ$15,MATCH(C104,'G-6 Hedgerow Data'!$AM$3:$AM$15,0),MATCH(M104,'G-6 Hedgerow Data'!$AN$2:$AZ$2,0))),"")</f>
        <v/>
      </c>
      <c r="O104" s="498" t="str">
        <f t="shared" si="9"/>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0"/>
        <v/>
      </c>
      <c r="AB104" s="520" t="str">
        <f t="shared" si="11"/>
        <v/>
      </c>
      <c r="AC104" s="521" t="str">
        <f t="shared" si="7"/>
        <v/>
      </c>
      <c r="AD104" s="536" t="str">
        <f>IF(M104="","",VLOOKUP(M104,'G-6 Hedgerow Data'!$B$3:$AG$15,31,FALSE))</f>
        <v/>
      </c>
      <c r="AE104" s="506" t="str">
        <f t="shared" si="12"/>
        <v/>
      </c>
      <c r="AF104" s="506" t="str">
        <f t="shared" si="13"/>
        <v/>
      </c>
      <c r="AG104" s="523" t="str">
        <f>IFERROR(IF(O104="","",VLOOKUP(AD104,'G-3 Multipliers'!$P$3:$Q$6,2,FALSE)),"")</f>
        <v/>
      </c>
      <c r="AH104" s="512" t="str">
        <f t="shared" si="8"/>
        <v/>
      </c>
      <c r="AI104" s="230"/>
      <c r="AJ104" s="150"/>
      <c r="AT104" s="31" t="str">
        <f>IFERROR(INDEX('G-6 Hedgerow Data'!$BJ$3:$BJ$15,MATCH(M104,'G-6 Hedgerow Data'!$B$3:$B$15,0)),"")</f>
        <v/>
      </c>
    </row>
    <row r="105" spans="2:46" ht="14.25" x14ac:dyDescent="0.2">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c r="N105" s="497" t="str">
        <f>IFERROR(IF(B105="","",INDEX('G-6 Hedgerow Data'!$AN$3:$AZ$15,MATCH(C105,'G-6 Hedgerow Data'!$AM$3:$AM$15,0),MATCH(M105,'G-6 Hedgerow Data'!$AN$2:$AZ$2,0))),"")</f>
        <v/>
      </c>
      <c r="O105" s="498" t="str">
        <f t="shared" si="9"/>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0"/>
        <v/>
      </c>
      <c r="AB105" s="520" t="str">
        <f t="shared" si="11"/>
        <v/>
      </c>
      <c r="AC105" s="521" t="str">
        <f t="shared" si="7"/>
        <v/>
      </c>
      <c r="AD105" s="536" t="str">
        <f>IF(M105="","",VLOOKUP(M105,'G-6 Hedgerow Data'!$B$3:$AG$15,31,FALSE))</f>
        <v/>
      </c>
      <c r="AE105" s="506" t="str">
        <f t="shared" si="12"/>
        <v/>
      </c>
      <c r="AF105" s="506" t="str">
        <f t="shared" si="13"/>
        <v/>
      </c>
      <c r="AG105" s="523" t="str">
        <f>IFERROR(IF(O105="","",VLOOKUP(AD105,'G-3 Multipliers'!$P$3:$Q$6,2,FALSE)),"")</f>
        <v/>
      </c>
      <c r="AH105" s="512" t="str">
        <f t="shared" si="8"/>
        <v/>
      </c>
      <c r="AI105" s="230"/>
      <c r="AJ105" s="150"/>
      <c r="AT105" s="31" t="str">
        <f>IFERROR(INDEX('G-6 Hedgerow Data'!$BJ$3:$BJ$15,MATCH(M105,'G-6 Hedgerow Data'!$B$3:$B$15,0)),"")</f>
        <v/>
      </c>
    </row>
    <row r="106" spans="2:46" ht="14.25" x14ac:dyDescent="0.2">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c r="N106" s="497" t="str">
        <f>IFERROR(IF(B106="","",INDEX('G-6 Hedgerow Data'!$AN$3:$AZ$15,MATCH(C106,'G-6 Hedgerow Data'!$AM$3:$AM$15,0),MATCH(M106,'G-6 Hedgerow Data'!$AN$2:$AZ$2,0))),"")</f>
        <v/>
      </c>
      <c r="O106" s="498" t="str">
        <f t="shared" si="9"/>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0"/>
        <v/>
      </c>
      <c r="AB106" s="520" t="str">
        <f t="shared" si="11"/>
        <v/>
      </c>
      <c r="AC106" s="521" t="str">
        <f t="shared" si="7"/>
        <v/>
      </c>
      <c r="AD106" s="536" t="str">
        <f>IF(M106="","",VLOOKUP(M106,'G-6 Hedgerow Data'!$B$3:$AG$15,31,FALSE))</f>
        <v/>
      </c>
      <c r="AE106" s="506" t="str">
        <f t="shared" si="12"/>
        <v/>
      </c>
      <c r="AF106" s="506" t="str">
        <f t="shared" si="13"/>
        <v/>
      </c>
      <c r="AG106" s="523" t="str">
        <f>IFERROR(IF(O106="","",VLOOKUP(AD106,'G-3 Multipliers'!$P$3:$Q$6,2,FALSE)),"")</f>
        <v/>
      </c>
      <c r="AH106" s="512" t="str">
        <f t="shared" si="8"/>
        <v/>
      </c>
      <c r="AI106" s="230"/>
      <c r="AJ106" s="150"/>
      <c r="AT106" s="31" t="str">
        <f>IFERROR(INDEX('G-6 Hedgerow Data'!$BJ$3:$BJ$15,MATCH(M106,'G-6 Hedgerow Data'!$B$3:$B$15,0)),"")</f>
        <v/>
      </c>
    </row>
    <row r="107" spans="2:46" ht="14.25" x14ac:dyDescent="0.2">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c r="N107" s="497" t="str">
        <f>IFERROR(IF(B107="","",INDEX('G-6 Hedgerow Data'!$AN$3:$AZ$15,MATCH(C107,'G-6 Hedgerow Data'!$AM$3:$AM$15,0),MATCH(M107,'G-6 Hedgerow Data'!$AN$2:$AZ$2,0))),"")</f>
        <v/>
      </c>
      <c r="O107" s="498" t="str">
        <f t="shared" si="9"/>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0"/>
        <v/>
      </c>
      <c r="AB107" s="520" t="str">
        <f t="shared" si="11"/>
        <v/>
      </c>
      <c r="AC107" s="521" t="str">
        <f t="shared" si="7"/>
        <v/>
      </c>
      <c r="AD107" s="536" t="str">
        <f>IF(M107="","",VLOOKUP(M107,'G-6 Hedgerow Data'!$B$3:$AG$15,31,FALSE))</f>
        <v/>
      </c>
      <c r="AE107" s="506" t="str">
        <f t="shared" si="12"/>
        <v/>
      </c>
      <c r="AF107" s="506" t="str">
        <f t="shared" si="13"/>
        <v/>
      </c>
      <c r="AG107" s="523" t="str">
        <f>IFERROR(IF(O107="","",VLOOKUP(AD107,'G-3 Multipliers'!$P$3:$Q$6,2,FALSE)),"")</f>
        <v/>
      </c>
      <c r="AH107" s="512" t="str">
        <f t="shared" si="8"/>
        <v/>
      </c>
      <c r="AI107" s="230"/>
      <c r="AJ107" s="150"/>
      <c r="AT107" s="31" t="str">
        <f>IFERROR(INDEX('G-6 Hedgerow Data'!$BJ$3:$BJ$15,MATCH(M107,'G-6 Hedgerow Data'!$B$3:$B$15,0)),"")</f>
        <v/>
      </c>
    </row>
    <row r="108" spans="2:46" ht="14.25" x14ac:dyDescent="0.2">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c r="N108" s="497" t="str">
        <f>IFERROR(IF(B108="","",INDEX('G-6 Hedgerow Data'!$AN$3:$AZ$15,MATCH(C108,'G-6 Hedgerow Data'!$AM$3:$AM$15,0),MATCH(M108,'G-6 Hedgerow Data'!$AN$2:$AZ$2,0))),"")</f>
        <v/>
      </c>
      <c r="O108" s="498" t="str">
        <f t="shared" si="9"/>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0"/>
        <v/>
      </c>
      <c r="AB108" s="520" t="str">
        <f t="shared" si="11"/>
        <v/>
      </c>
      <c r="AC108" s="521" t="str">
        <f t="shared" si="7"/>
        <v/>
      </c>
      <c r="AD108" s="536" t="str">
        <f>IF(M108="","",VLOOKUP(M108,'G-6 Hedgerow Data'!$B$3:$AG$15,31,FALSE))</f>
        <v/>
      </c>
      <c r="AE108" s="506" t="str">
        <f t="shared" si="12"/>
        <v/>
      </c>
      <c r="AF108" s="506" t="str">
        <f t="shared" si="13"/>
        <v/>
      </c>
      <c r="AG108" s="523" t="str">
        <f>IFERROR(IF(O108="","",VLOOKUP(AD108,'G-3 Multipliers'!$P$3:$Q$6,2,FALSE)),"")</f>
        <v/>
      </c>
      <c r="AH108" s="512" t="str">
        <f t="shared" si="8"/>
        <v/>
      </c>
      <c r="AI108" s="230"/>
      <c r="AJ108" s="150"/>
      <c r="AT108" s="31" t="str">
        <f>IFERROR(INDEX('G-6 Hedgerow Data'!$BJ$3:$BJ$15,MATCH(M108,'G-6 Hedgerow Data'!$B$3:$B$15,0)),"")</f>
        <v/>
      </c>
    </row>
    <row r="109" spans="2:46" ht="14.25" x14ac:dyDescent="0.2">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c r="N109" s="497" t="str">
        <f>IFERROR(IF(B109="","",INDEX('G-6 Hedgerow Data'!$AN$3:$AZ$15,MATCH(C109,'G-6 Hedgerow Data'!$AM$3:$AM$15,0),MATCH(M109,'G-6 Hedgerow Data'!$AN$2:$AZ$2,0))),"")</f>
        <v/>
      </c>
      <c r="O109" s="498" t="str">
        <f t="shared" si="9"/>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0"/>
        <v/>
      </c>
      <c r="AB109" s="520" t="str">
        <f t="shared" si="11"/>
        <v/>
      </c>
      <c r="AC109" s="521" t="str">
        <f t="shared" si="7"/>
        <v/>
      </c>
      <c r="AD109" s="536" t="str">
        <f>IF(M109="","",VLOOKUP(M109,'G-6 Hedgerow Data'!$B$3:$AG$15,31,FALSE))</f>
        <v/>
      </c>
      <c r="AE109" s="506" t="str">
        <f t="shared" si="12"/>
        <v/>
      </c>
      <c r="AF109" s="506" t="str">
        <f t="shared" si="13"/>
        <v/>
      </c>
      <c r="AG109" s="523" t="str">
        <f>IFERROR(IF(O109="","",VLOOKUP(AD109,'G-3 Multipliers'!$P$3:$Q$6,2,FALSE)),"")</f>
        <v/>
      </c>
      <c r="AH109" s="512" t="str">
        <f t="shared" si="8"/>
        <v/>
      </c>
      <c r="AI109" s="230"/>
      <c r="AJ109" s="150"/>
      <c r="AT109" s="31" t="str">
        <f>IFERROR(INDEX('G-6 Hedgerow Data'!$BJ$3:$BJ$15,MATCH(M109,'G-6 Hedgerow Data'!$B$3:$B$15,0)),"")</f>
        <v/>
      </c>
    </row>
    <row r="110" spans="2:46" ht="14.25" x14ac:dyDescent="0.2">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c r="N110" s="497" t="str">
        <f>IFERROR(IF(B110="","",INDEX('G-6 Hedgerow Data'!$AN$3:$AZ$15,MATCH(C110,'G-6 Hedgerow Data'!$AM$3:$AM$15,0),MATCH(M110,'G-6 Hedgerow Data'!$AN$2:$AZ$2,0))),"")</f>
        <v/>
      </c>
      <c r="O110" s="498" t="str">
        <f t="shared" si="9"/>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0"/>
        <v/>
      </c>
      <c r="AB110" s="520" t="str">
        <f t="shared" si="11"/>
        <v/>
      </c>
      <c r="AC110" s="521" t="str">
        <f t="shared" si="7"/>
        <v/>
      </c>
      <c r="AD110" s="536" t="str">
        <f>IF(M110="","",VLOOKUP(M110,'G-6 Hedgerow Data'!$B$3:$AG$15,31,FALSE))</f>
        <v/>
      </c>
      <c r="AE110" s="506" t="str">
        <f t="shared" si="12"/>
        <v/>
      </c>
      <c r="AF110" s="506" t="str">
        <f t="shared" si="13"/>
        <v/>
      </c>
      <c r="AG110" s="523" t="str">
        <f>IFERROR(IF(O110="","",VLOOKUP(AD110,'G-3 Multipliers'!$P$3:$Q$6,2,FALSE)),"")</f>
        <v/>
      </c>
      <c r="AH110" s="512" t="str">
        <f t="shared" si="8"/>
        <v/>
      </c>
      <c r="AI110" s="230"/>
      <c r="AJ110" s="150"/>
      <c r="AT110" s="31" t="str">
        <f>IFERROR(INDEX('G-6 Hedgerow Data'!$BJ$3:$BJ$15,MATCH(M110,'G-6 Hedgerow Data'!$B$3:$B$15,0)),"")</f>
        <v/>
      </c>
    </row>
    <row r="111" spans="2:46" ht="14.25" x14ac:dyDescent="0.2">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c r="N111" s="497" t="str">
        <f>IFERROR(IF(B111="","",INDEX('G-6 Hedgerow Data'!$AN$3:$AZ$15,MATCH(C111,'G-6 Hedgerow Data'!$AM$3:$AM$15,0),MATCH(M111,'G-6 Hedgerow Data'!$AN$2:$AZ$2,0))),"")</f>
        <v/>
      </c>
      <c r="O111" s="498" t="str">
        <f t="shared" si="9"/>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0"/>
        <v/>
      </c>
      <c r="AB111" s="520" t="str">
        <f t="shared" si="11"/>
        <v/>
      </c>
      <c r="AC111" s="521" t="str">
        <f t="shared" si="7"/>
        <v/>
      </c>
      <c r="AD111" s="536" t="str">
        <f>IF(M111="","",VLOOKUP(M111,'G-6 Hedgerow Data'!$B$3:$AG$15,31,FALSE))</f>
        <v/>
      </c>
      <c r="AE111" s="506" t="str">
        <f t="shared" si="12"/>
        <v/>
      </c>
      <c r="AF111" s="506" t="str">
        <f t="shared" si="13"/>
        <v/>
      </c>
      <c r="AG111" s="523" t="str">
        <f>IFERROR(IF(O111="","",VLOOKUP(AD111,'G-3 Multipliers'!$P$3:$Q$6,2,FALSE)),"")</f>
        <v/>
      </c>
      <c r="AH111" s="512" t="str">
        <f t="shared" si="8"/>
        <v/>
      </c>
      <c r="AI111" s="230"/>
      <c r="AJ111" s="150"/>
      <c r="AT111" s="31" t="str">
        <f>IFERROR(INDEX('G-6 Hedgerow Data'!$BJ$3:$BJ$15,MATCH(M111,'G-6 Hedgerow Data'!$B$3:$B$15,0)),"")</f>
        <v/>
      </c>
    </row>
    <row r="112" spans="2:46" ht="14.25" x14ac:dyDescent="0.2">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c r="N112" s="497" t="str">
        <f>IFERROR(IF(B112="","",INDEX('G-6 Hedgerow Data'!$AN$3:$AZ$15,MATCH(C112,'G-6 Hedgerow Data'!$AM$3:$AM$15,0),MATCH(M112,'G-6 Hedgerow Data'!$AN$2:$AZ$2,0))),"")</f>
        <v/>
      </c>
      <c r="O112" s="498" t="str">
        <f t="shared" si="9"/>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0"/>
        <v/>
      </c>
      <c r="AB112" s="520" t="str">
        <f t="shared" si="11"/>
        <v/>
      </c>
      <c r="AC112" s="521" t="str">
        <f t="shared" si="7"/>
        <v/>
      </c>
      <c r="AD112" s="536" t="str">
        <f>IF(M112="","",VLOOKUP(M112,'G-6 Hedgerow Data'!$B$3:$AG$15,31,FALSE))</f>
        <v/>
      </c>
      <c r="AE112" s="506" t="str">
        <f t="shared" si="12"/>
        <v/>
      </c>
      <c r="AF112" s="506" t="str">
        <f t="shared" si="13"/>
        <v/>
      </c>
      <c r="AG112" s="523" t="str">
        <f>IFERROR(IF(O112="","",VLOOKUP(AD112,'G-3 Multipliers'!$P$3:$Q$6,2,FALSE)),"")</f>
        <v/>
      </c>
      <c r="AH112" s="512" t="str">
        <f t="shared" si="8"/>
        <v/>
      </c>
      <c r="AI112" s="230"/>
      <c r="AJ112" s="150"/>
      <c r="AT112" s="31" t="str">
        <f>IFERROR(INDEX('G-6 Hedgerow Data'!$BJ$3:$BJ$15,MATCH(M112,'G-6 Hedgerow Data'!$B$3:$B$15,0)),"")</f>
        <v/>
      </c>
    </row>
    <row r="113" spans="2:46" ht="14.25" x14ac:dyDescent="0.2">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c r="N113" s="497" t="str">
        <f>IFERROR(IF(B113="","",INDEX('G-6 Hedgerow Data'!$AN$3:$AZ$15,MATCH(C113,'G-6 Hedgerow Data'!$AM$3:$AM$15,0),MATCH(M113,'G-6 Hedgerow Data'!$AN$2:$AZ$2,0))),"")</f>
        <v/>
      </c>
      <c r="O113" s="498" t="str">
        <f t="shared" si="9"/>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0"/>
        <v/>
      </c>
      <c r="AB113" s="520" t="str">
        <f t="shared" si="11"/>
        <v/>
      </c>
      <c r="AC113" s="521" t="str">
        <f t="shared" si="7"/>
        <v/>
      </c>
      <c r="AD113" s="536" t="str">
        <f>IF(M113="","",VLOOKUP(M113,'G-6 Hedgerow Data'!$B$3:$AG$15,31,FALSE))</f>
        <v/>
      </c>
      <c r="AE113" s="506" t="str">
        <f t="shared" si="12"/>
        <v/>
      </c>
      <c r="AF113" s="506" t="str">
        <f t="shared" si="13"/>
        <v/>
      </c>
      <c r="AG113" s="523" t="str">
        <f>IFERROR(IF(O113="","",VLOOKUP(AD113,'G-3 Multipliers'!$P$3:$Q$6,2,FALSE)),"")</f>
        <v/>
      </c>
      <c r="AH113" s="512" t="str">
        <f t="shared" si="8"/>
        <v/>
      </c>
      <c r="AI113" s="230"/>
      <c r="AJ113" s="150"/>
      <c r="AT113" s="31" t="str">
        <f>IFERROR(INDEX('G-6 Hedgerow Data'!$BJ$3:$BJ$15,MATCH(M113,'G-6 Hedgerow Data'!$B$3:$B$15,0)),"")</f>
        <v/>
      </c>
    </row>
    <row r="114" spans="2:46" ht="14.25" x14ac:dyDescent="0.2">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c r="N114" s="497" t="str">
        <f>IFERROR(IF(B114="","",INDEX('G-6 Hedgerow Data'!$AN$3:$AZ$15,MATCH(C114,'G-6 Hedgerow Data'!$AM$3:$AM$15,0),MATCH(M114,'G-6 Hedgerow Data'!$AN$2:$AZ$2,0))),"")</f>
        <v/>
      </c>
      <c r="O114" s="498" t="str">
        <f t="shared" si="9"/>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0"/>
        <v/>
      </c>
      <c r="AB114" s="520" t="str">
        <f t="shared" si="11"/>
        <v/>
      </c>
      <c r="AC114" s="521" t="str">
        <f t="shared" si="7"/>
        <v/>
      </c>
      <c r="AD114" s="536" t="str">
        <f>IF(M114="","",VLOOKUP(M114,'G-6 Hedgerow Data'!$B$3:$AG$15,31,FALSE))</f>
        <v/>
      </c>
      <c r="AE114" s="506" t="str">
        <f t="shared" si="12"/>
        <v/>
      </c>
      <c r="AF114" s="506" t="str">
        <f t="shared" si="13"/>
        <v/>
      </c>
      <c r="AG114" s="523" t="str">
        <f>IFERROR(IF(O114="","",VLOOKUP(AD114,'G-3 Multipliers'!$P$3:$Q$6,2,FALSE)),"")</f>
        <v/>
      </c>
      <c r="AH114" s="512" t="str">
        <f t="shared" si="8"/>
        <v/>
      </c>
      <c r="AI114" s="230"/>
      <c r="AJ114" s="150"/>
      <c r="AT114" s="31" t="str">
        <f>IFERROR(INDEX('G-6 Hedgerow Data'!$BJ$3:$BJ$15,MATCH(M114,'G-6 Hedgerow Data'!$B$3:$B$15,0)),"")</f>
        <v/>
      </c>
    </row>
    <row r="115" spans="2:46" ht="14.25" x14ac:dyDescent="0.2">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c r="N115" s="497" t="str">
        <f>IFERROR(IF(B115="","",INDEX('G-6 Hedgerow Data'!$AN$3:$AZ$15,MATCH(C115,'G-6 Hedgerow Data'!$AM$3:$AM$15,0),MATCH(M115,'G-6 Hedgerow Data'!$AN$2:$AZ$2,0))),"")</f>
        <v/>
      </c>
      <c r="O115" s="498" t="str">
        <f t="shared" si="9"/>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0"/>
        <v/>
      </c>
      <c r="AB115" s="520" t="str">
        <f t="shared" si="11"/>
        <v/>
      </c>
      <c r="AC115" s="521" t="str">
        <f t="shared" si="7"/>
        <v/>
      </c>
      <c r="AD115" s="536" t="str">
        <f>IF(M115="","",VLOOKUP(M115,'G-6 Hedgerow Data'!$B$3:$AG$15,31,FALSE))</f>
        <v/>
      </c>
      <c r="AE115" s="506" t="str">
        <f t="shared" si="12"/>
        <v/>
      </c>
      <c r="AF115" s="506" t="str">
        <f t="shared" si="13"/>
        <v/>
      </c>
      <c r="AG115" s="523" t="str">
        <f>IFERROR(IF(O115="","",VLOOKUP(AD115,'G-3 Multipliers'!$P$3:$Q$6,2,FALSE)),"")</f>
        <v/>
      </c>
      <c r="AH115" s="512" t="str">
        <f t="shared" si="8"/>
        <v/>
      </c>
      <c r="AI115" s="230"/>
      <c r="AJ115" s="150"/>
      <c r="AT115" s="31" t="str">
        <f>IFERROR(INDEX('G-6 Hedgerow Data'!$BJ$3:$BJ$15,MATCH(M115,'G-6 Hedgerow Data'!$B$3:$B$15,0)),"")</f>
        <v/>
      </c>
    </row>
    <row r="116" spans="2:46" ht="14.25" x14ac:dyDescent="0.2">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c r="N116" s="497" t="str">
        <f>IFERROR(IF(B116="","",INDEX('G-6 Hedgerow Data'!$AN$3:$AZ$15,MATCH(C116,'G-6 Hedgerow Data'!$AM$3:$AM$15,0),MATCH(M116,'G-6 Hedgerow Data'!$AN$2:$AZ$2,0))),"")</f>
        <v/>
      </c>
      <c r="O116" s="498" t="str">
        <f t="shared" si="9"/>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0"/>
        <v/>
      </c>
      <c r="AB116" s="520" t="str">
        <f t="shared" si="11"/>
        <v/>
      </c>
      <c r="AC116" s="521" t="str">
        <f t="shared" si="7"/>
        <v/>
      </c>
      <c r="AD116" s="536" t="str">
        <f>IF(M116="","",VLOOKUP(M116,'G-6 Hedgerow Data'!$B$3:$AG$15,31,FALSE))</f>
        <v/>
      </c>
      <c r="AE116" s="506" t="str">
        <f t="shared" si="12"/>
        <v/>
      </c>
      <c r="AF116" s="506" t="str">
        <f t="shared" si="13"/>
        <v/>
      </c>
      <c r="AG116" s="523" t="str">
        <f>IFERROR(IF(O116="","",VLOOKUP(AD116,'G-3 Multipliers'!$P$3:$Q$6,2,FALSE)),"")</f>
        <v/>
      </c>
      <c r="AH116" s="512" t="str">
        <f t="shared" si="8"/>
        <v/>
      </c>
      <c r="AI116" s="230"/>
      <c r="AJ116" s="150"/>
      <c r="AT116" s="31" t="str">
        <f>IFERROR(INDEX('G-6 Hedgerow Data'!$BJ$3:$BJ$15,MATCH(M116,'G-6 Hedgerow Data'!$B$3:$B$15,0)),"")</f>
        <v/>
      </c>
    </row>
    <row r="117" spans="2:46" ht="14.25" x14ac:dyDescent="0.2">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c r="N117" s="497" t="str">
        <f>IFERROR(IF(B117="","",INDEX('G-6 Hedgerow Data'!$AN$3:$AZ$15,MATCH(C117,'G-6 Hedgerow Data'!$AM$3:$AM$15,0),MATCH(M117,'G-6 Hedgerow Data'!$AN$2:$AZ$2,0))),"")</f>
        <v/>
      </c>
      <c r="O117" s="498" t="str">
        <f t="shared" si="9"/>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0"/>
        <v/>
      </c>
      <c r="AB117" s="520" t="str">
        <f t="shared" si="11"/>
        <v/>
      </c>
      <c r="AC117" s="521" t="str">
        <f t="shared" si="7"/>
        <v/>
      </c>
      <c r="AD117" s="536" t="str">
        <f>IF(M117="","",VLOOKUP(M117,'G-6 Hedgerow Data'!$B$3:$AG$15,31,FALSE))</f>
        <v/>
      </c>
      <c r="AE117" s="506" t="str">
        <f t="shared" si="12"/>
        <v/>
      </c>
      <c r="AF117" s="506" t="str">
        <f t="shared" si="13"/>
        <v/>
      </c>
      <c r="AG117" s="523" t="str">
        <f>IFERROR(IF(O117="","",VLOOKUP(AD117,'G-3 Multipliers'!$P$3:$Q$6,2,FALSE)),"")</f>
        <v/>
      </c>
      <c r="AH117" s="512" t="str">
        <f t="shared" si="8"/>
        <v/>
      </c>
      <c r="AI117" s="230"/>
      <c r="AJ117" s="150"/>
      <c r="AT117" s="31" t="str">
        <f>IFERROR(INDEX('G-6 Hedgerow Data'!$BJ$3:$BJ$15,MATCH(M117,'G-6 Hedgerow Data'!$B$3:$B$15,0)),"")</f>
        <v/>
      </c>
    </row>
    <row r="118" spans="2:46" ht="14.25" x14ac:dyDescent="0.2">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c r="N118" s="497" t="str">
        <f>IFERROR(IF(B118="","",INDEX('G-6 Hedgerow Data'!$AN$3:$AZ$15,MATCH(C118,'G-6 Hedgerow Data'!$AM$3:$AM$15,0),MATCH(M118,'G-6 Hedgerow Data'!$AN$2:$AZ$2,0))),"")</f>
        <v/>
      </c>
      <c r="O118" s="498" t="str">
        <f t="shared" si="9"/>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0"/>
        <v/>
      </c>
      <c r="AB118" s="520" t="str">
        <f t="shared" si="11"/>
        <v/>
      </c>
      <c r="AC118" s="521" t="str">
        <f t="shared" si="7"/>
        <v/>
      </c>
      <c r="AD118" s="536" t="str">
        <f>IF(M118="","",VLOOKUP(M118,'G-6 Hedgerow Data'!$B$3:$AG$15,31,FALSE))</f>
        <v/>
      </c>
      <c r="AE118" s="506" t="str">
        <f t="shared" si="12"/>
        <v/>
      </c>
      <c r="AF118" s="506" t="str">
        <f t="shared" si="13"/>
        <v/>
      </c>
      <c r="AG118" s="523" t="str">
        <f>IFERROR(IF(O118="","",VLOOKUP(AD118,'G-3 Multipliers'!$P$3:$Q$6,2,FALSE)),"")</f>
        <v/>
      </c>
      <c r="AH118" s="512" t="str">
        <f t="shared" si="8"/>
        <v/>
      </c>
      <c r="AI118" s="230"/>
      <c r="AJ118" s="150"/>
      <c r="AT118" s="31" t="str">
        <f>IFERROR(INDEX('G-6 Hedgerow Data'!$BJ$3:$BJ$15,MATCH(M118,'G-6 Hedgerow Data'!$B$3:$B$15,0)),"")</f>
        <v/>
      </c>
    </row>
    <row r="119" spans="2:46" ht="14.25" x14ac:dyDescent="0.2">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c r="N119" s="497" t="str">
        <f>IFERROR(IF(B119="","",INDEX('G-6 Hedgerow Data'!$AN$3:$AZ$15,MATCH(C119,'G-6 Hedgerow Data'!$AM$3:$AM$15,0),MATCH(M119,'G-6 Hedgerow Data'!$AN$2:$AZ$2,0))),"")</f>
        <v/>
      </c>
      <c r="O119" s="498" t="str">
        <f t="shared" si="9"/>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0"/>
        <v/>
      </c>
      <c r="AB119" s="520" t="str">
        <f t="shared" si="11"/>
        <v/>
      </c>
      <c r="AC119" s="521" t="str">
        <f t="shared" si="7"/>
        <v/>
      </c>
      <c r="AD119" s="536" t="str">
        <f>IF(M119="","",VLOOKUP(M119,'G-6 Hedgerow Data'!$B$3:$AG$15,31,FALSE))</f>
        <v/>
      </c>
      <c r="AE119" s="506" t="str">
        <f t="shared" si="12"/>
        <v/>
      </c>
      <c r="AF119" s="506" t="str">
        <f t="shared" si="13"/>
        <v/>
      </c>
      <c r="AG119" s="523" t="str">
        <f>IFERROR(IF(O119="","",VLOOKUP(AD119,'G-3 Multipliers'!$P$3:$Q$6,2,FALSE)),"")</f>
        <v/>
      </c>
      <c r="AH119" s="512" t="str">
        <f t="shared" si="8"/>
        <v/>
      </c>
      <c r="AI119" s="230"/>
      <c r="AJ119" s="150"/>
      <c r="AT119" s="31" t="str">
        <f>IFERROR(INDEX('G-6 Hedgerow Data'!$BJ$3:$BJ$15,MATCH(M119,'G-6 Hedgerow Data'!$B$3:$B$15,0)),"")</f>
        <v/>
      </c>
    </row>
    <row r="120" spans="2:46" ht="14.25" x14ac:dyDescent="0.2">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c r="N120" s="497" t="str">
        <f>IFERROR(IF(B120="","",INDEX('G-6 Hedgerow Data'!$AN$3:$AZ$15,MATCH(C120,'G-6 Hedgerow Data'!$AM$3:$AM$15,0),MATCH(M120,'G-6 Hedgerow Data'!$AN$2:$AZ$2,0))),"")</f>
        <v/>
      </c>
      <c r="O120" s="498" t="str">
        <f t="shared" si="9"/>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0"/>
        <v/>
      </c>
      <c r="AB120" s="520" t="str">
        <f t="shared" si="11"/>
        <v/>
      </c>
      <c r="AC120" s="521" t="str">
        <f t="shared" si="7"/>
        <v/>
      </c>
      <c r="AD120" s="536" t="str">
        <f>IF(M120="","",VLOOKUP(M120,'G-6 Hedgerow Data'!$B$3:$AG$15,31,FALSE))</f>
        <v/>
      </c>
      <c r="AE120" s="506" t="str">
        <f t="shared" si="12"/>
        <v/>
      </c>
      <c r="AF120" s="506" t="str">
        <f t="shared" si="13"/>
        <v/>
      </c>
      <c r="AG120" s="523" t="str">
        <f>IFERROR(IF(O120="","",VLOOKUP(AD120,'G-3 Multipliers'!$P$3:$Q$6,2,FALSE)),"")</f>
        <v/>
      </c>
      <c r="AH120" s="512" t="str">
        <f t="shared" si="8"/>
        <v/>
      </c>
      <c r="AI120" s="230"/>
      <c r="AJ120" s="150"/>
      <c r="AT120" s="31" t="str">
        <f>IFERROR(INDEX('G-6 Hedgerow Data'!$BJ$3:$BJ$15,MATCH(M120,'G-6 Hedgerow Data'!$B$3:$B$15,0)),"")</f>
        <v/>
      </c>
    </row>
    <row r="121" spans="2:46" ht="14.25" x14ac:dyDescent="0.2">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c r="N121" s="497" t="str">
        <f>IFERROR(IF(B121="","",INDEX('G-6 Hedgerow Data'!$AN$3:$AZ$15,MATCH(C121,'G-6 Hedgerow Data'!$AM$3:$AM$15,0),MATCH(M121,'G-6 Hedgerow Data'!$AN$2:$AZ$2,0))),"")</f>
        <v/>
      </c>
      <c r="O121" s="498" t="str">
        <f t="shared" si="9"/>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0"/>
        <v/>
      </c>
      <c r="AB121" s="520" t="str">
        <f t="shared" si="11"/>
        <v/>
      </c>
      <c r="AC121" s="521" t="str">
        <f t="shared" si="7"/>
        <v/>
      </c>
      <c r="AD121" s="536" t="str">
        <f>IF(M121="","",VLOOKUP(M121,'G-6 Hedgerow Data'!$B$3:$AG$15,31,FALSE))</f>
        <v/>
      </c>
      <c r="AE121" s="506" t="str">
        <f t="shared" si="12"/>
        <v/>
      </c>
      <c r="AF121" s="506" t="str">
        <f t="shared" si="13"/>
        <v/>
      </c>
      <c r="AG121" s="523" t="str">
        <f>IFERROR(IF(O121="","",VLOOKUP(AD121,'G-3 Multipliers'!$P$3:$Q$6,2,FALSE)),"")</f>
        <v/>
      </c>
      <c r="AH121" s="512" t="str">
        <f t="shared" si="8"/>
        <v/>
      </c>
      <c r="AI121" s="230"/>
      <c r="AJ121" s="150"/>
      <c r="AT121" s="31" t="str">
        <f>IFERROR(INDEX('G-6 Hedgerow Data'!$BJ$3:$BJ$15,MATCH(M121,'G-6 Hedgerow Data'!$B$3:$B$15,0)),"")</f>
        <v/>
      </c>
    </row>
    <row r="122" spans="2:46" ht="14.25" x14ac:dyDescent="0.2">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c r="N122" s="497" t="str">
        <f>IFERROR(IF(B122="","",INDEX('G-6 Hedgerow Data'!$AN$3:$AZ$15,MATCH(C122,'G-6 Hedgerow Data'!$AM$3:$AM$15,0),MATCH(M122,'G-6 Hedgerow Data'!$AN$2:$AZ$2,0))),"")</f>
        <v/>
      </c>
      <c r="O122" s="498" t="str">
        <f t="shared" si="9"/>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0"/>
        <v/>
      </c>
      <c r="AB122" s="520" t="str">
        <f t="shared" si="11"/>
        <v/>
      </c>
      <c r="AC122" s="521" t="str">
        <f t="shared" si="7"/>
        <v/>
      </c>
      <c r="AD122" s="536" t="str">
        <f>IF(M122="","",VLOOKUP(M122,'G-6 Hedgerow Data'!$B$3:$AG$15,31,FALSE))</f>
        <v/>
      </c>
      <c r="AE122" s="506" t="str">
        <f t="shared" si="12"/>
        <v/>
      </c>
      <c r="AF122" s="506" t="str">
        <f t="shared" si="13"/>
        <v/>
      </c>
      <c r="AG122" s="523" t="str">
        <f>IFERROR(IF(O122="","",VLOOKUP(AD122,'G-3 Multipliers'!$P$3:$Q$6,2,FALSE)),"")</f>
        <v/>
      </c>
      <c r="AH122" s="512" t="str">
        <f t="shared" si="8"/>
        <v/>
      </c>
      <c r="AI122" s="230"/>
      <c r="AJ122" s="150"/>
      <c r="AT122" s="31" t="str">
        <f>IFERROR(INDEX('G-6 Hedgerow Data'!$BJ$3:$BJ$15,MATCH(M122,'G-6 Hedgerow Data'!$B$3:$B$15,0)),"")</f>
        <v/>
      </c>
    </row>
    <row r="123" spans="2:46" ht="14.25" x14ac:dyDescent="0.2">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c r="N123" s="497" t="str">
        <f>IFERROR(IF(B123="","",INDEX('G-6 Hedgerow Data'!$AN$3:$AZ$15,MATCH(C123,'G-6 Hedgerow Data'!$AM$3:$AM$15,0),MATCH(M123,'G-6 Hedgerow Data'!$AN$2:$AZ$2,0))),"")</f>
        <v/>
      </c>
      <c r="O123" s="498" t="str">
        <f t="shared" si="9"/>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0"/>
        <v/>
      </c>
      <c r="AB123" s="520" t="str">
        <f t="shared" si="11"/>
        <v/>
      </c>
      <c r="AC123" s="521" t="str">
        <f t="shared" si="7"/>
        <v/>
      </c>
      <c r="AD123" s="536" t="str">
        <f>IF(M123="","",VLOOKUP(M123,'G-6 Hedgerow Data'!$B$3:$AG$15,31,FALSE))</f>
        <v/>
      </c>
      <c r="AE123" s="506" t="str">
        <f t="shared" si="12"/>
        <v/>
      </c>
      <c r="AF123" s="506" t="str">
        <f t="shared" si="13"/>
        <v/>
      </c>
      <c r="AG123" s="523" t="str">
        <f>IFERROR(IF(O123="","",VLOOKUP(AD123,'G-3 Multipliers'!$P$3:$Q$6,2,FALSE)),"")</f>
        <v/>
      </c>
      <c r="AH123" s="512" t="str">
        <f t="shared" si="8"/>
        <v/>
      </c>
      <c r="AI123" s="230"/>
      <c r="AJ123" s="150"/>
      <c r="AT123" s="31" t="str">
        <f>IFERROR(INDEX('G-6 Hedgerow Data'!$BJ$3:$BJ$15,MATCH(M123,'G-6 Hedgerow Data'!$B$3:$B$15,0)),"")</f>
        <v/>
      </c>
    </row>
    <row r="124" spans="2:46" ht="14.25" x14ac:dyDescent="0.2">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c r="N124" s="497" t="str">
        <f>IFERROR(IF(B124="","",INDEX('G-6 Hedgerow Data'!$AN$3:$AZ$15,MATCH(C124,'G-6 Hedgerow Data'!$AM$3:$AM$15,0),MATCH(M124,'G-6 Hedgerow Data'!$AN$2:$AZ$2,0))),"")</f>
        <v/>
      </c>
      <c r="O124" s="498" t="str">
        <f t="shared" si="9"/>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0"/>
        <v/>
      </c>
      <c r="AB124" s="520" t="str">
        <f t="shared" si="11"/>
        <v/>
      </c>
      <c r="AC124" s="521" t="str">
        <f t="shared" si="7"/>
        <v/>
      </c>
      <c r="AD124" s="536" t="str">
        <f>IF(M124="","",VLOOKUP(M124,'G-6 Hedgerow Data'!$B$3:$AG$15,31,FALSE))</f>
        <v/>
      </c>
      <c r="AE124" s="506" t="str">
        <f t="shared" si="12"/>
        <v/>
      </c>
      <c r="AF124" s="506" t="str">
        <f t="shared" si="13"/>
        <v/>
      </c>
      <c r="AG124" s="523" t="str">
        <f>IFERROR(IF(O124="","",VLOOKUP(AD124,'G-3 Multipliers'!$P$3:$Q$6,2,FALSE)),"")</f>
        <v/>
      </c>
      <c r="AH124" s="512" t="str">
        <f t="shared" si="8"/>
        <v/>
      </c>
      <c r="AI124" s="230"/>
      <c r="AJ124" s="150"/>
      <c r="AT124" s="31" t="str">
        <f>IFERROR(INDEX('G-6 Hedgerow Data'!$BJ$3:$BJ$15,MATCH(M124,'G-6 Hedgerow Data'!$B$3:$B$15,0)),"")</f>
        <v/>
      </c>
    </row>
    <row r="125" spans="2:46" ht="14.25" x14ac:dyDescent="0.2">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c r="N125" s="497" t="str">
        <f>IFERROR(IF(B125="","",INDEX('G-6 Hedgerow Data'!$AN$3:$AZ$15,MATCH(C125,'G-6 Hedgerow Data'!$AM$3:$AM$15,0),MATCH(M125,'G-6 Hedgerow Data'!$AN$2:$AZ$2,0))),"")</f>
        <v/>
      </c>
      <c r="O125" s="498" t="str">
        <f t="shared" si="9"/>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0"/>
        <v/>
      </c>
      <c r="AB125" s="520" t="str">
        <f t="shared" si="11"/>
        <v/>
      </c>
      <c r="AC125" s="521" t="str">
        <f t="shared" si="7"/>
        <v/>
      </c>
      <c r="AD125" s="536" t="str">
        <f>IF(M125="","",VLOOKUP(M125,'G-6 Hedgerow Data'!$B$3:$AG$15,31,FALSE))</f>
        <v/>
      </c>
      <c r="AE125" s="506" t="str">
        <f t="shared" si="12"/>
        <v/>
      </c>
      <c r="AF125" s="506" t="str">
        <f t="shared" si="13"/>
        <v/>
      </c>
      <c r="AG125" s="523" t="str">
        <f>IFERROR(IF(O125="","",VLOOKUP(AD125,'G-3 Multipliers'!$P$3:$Q$6,2,FALSE)),"")</f>
        <v/>
      </c>
      <c r="AH125" s="512" t="str">
        <f t="shared" si="8"/>
        <v/>
      </c>
      <c r="AI125" s="230"/>
      <c r="AJ125" s="150"/>
      <c r="AT125" s="31" t="str">
        <f>IFERROR(INDEX('G-6 Hedgerow Data'!$BJ$3:$BJ$15,MATCH(M125,'G-6 Hedgerow Data'!$B$3:$B$15,0)),"")</f>
        <v/>
      </c>
    </row>
    <row r="126" spans="2:46" ht="14.25" x14ac:dyDescent="0.2">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c r="N126" s="497" t="str">
        <f>IFERROR(IF(B126="","",INDEX('G-6 Hedgerow Data'!$AN$3:$AZ$15,MATCH(C126,'G-6 Hedgerow Data'!$AM$3:$AM$15,0),MATCH(M126,'G-6 Hedgerow Data'!$AN$2:$AZ$2,0))),"")</f>
        <v/>
      </c>
      <c r="O126" s="498" t="str">
        <f t="shared" si="9"/>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0"/>
        <v/>
      </c>
      <c r="AB126" s="520" t="str">
        <f t="shared" si="11"/>
        <v/>
      </c>
      <c r="AC126" s="521" t="str">
        <f t="shared" si="7"/>
        <v/>
      </c>
      <c r="AD126" s="536" t="str">
        <f>IF(M126="","",VLOOKUP(M126,'G-6 Hedgerow Data'!$B$3:$AG$15,31,FALSE))</f>
        <v/>
      </c>
      <c r="AE126" s="506" t="str">
        <f t="shared" si="12"/>
        <v/>
      </c>
      <c r="AF126" s="506" t="str">
        <f t="shared" si="13"/>
        <v/>
      </c>
      <c r="AG126" s="523" t="str">
        <f>IFERROR(IF(O126="","",VLOOKUP(AD126,'G-3 Multipliers'!$P$3:$Q$6,2,FALSE)),"")</f>
        <v/>
      </c>
      <c r="AH126" s="512" t="str">
        <f t="shared" si="8"/>
        <v/>
      </c>
      <c r="AI126" s="230"/>
      <c r="AJ126" s="150"/>
      <c r="AT126" s="31" t="str">
        <f>IFERROR(INDEX('G-6 Hedgerow Data'!$BJ$3:$BJ$15,MATCH(M126,'G-6 Hedgerow Data'!$B$3:$B$15,0)),"")</f>
        <v/>
      </c>
    </row>
    <row r="127" spans="2:46" ht="14.25" x14ac:dyDescent="0.2">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c r="N127" s="497" t="str">
        <f>IFERROR(IF(B127="","",INDEX('G-6 Hedgerow Data'!$AN$3:$AZ$15,MATCH(C127,'G-6 Hedgerow Data'!$AM$3:$AM$15,0),MATCH(M127,'G-6 Hedgerow Data'!$AN$2:$AZ$2,0))),"")</f>
        <v/>
      </c>
      <c r="O127" s="498" t="str">
        <f t="shared" si="9"/>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0"/>
        <v/>
      </c>
      <c r="AB127" s="520" t="str">
        <f t="shared" si="11"/>
        <v/>
      </c>
      <c r="AC127" s="521" t="str">
        <f t="shared" si="7"/>
        <v/>
      </c>
      <c r="AD127" s="536" t="str">
        <f>IF(M127="","",VLOOKUP(M127,'G-6 Hedgerow Data'!$B$3:$AG$15,31,FALSE))</f>
        <v/>
      </c>
      <c r="AE127" s="506" t="str">
        <f t="shared" si="12"/>
        <v/>
      </c>
      <c r="AF127" s="506" t="str">
        <f t="shared" si="13"/>
        <v/>
      </c>
      <c r="AG127" s="523" t="str">
        <f>IFERROR(IF(O127="","",VLOOKUP(AD127,'G-3 Multipliers'!$P$3:$Q$6,2,FALSE)),"")</f>
        <v/>
      </c>
      <c r="AH127" s="512" t="str">
        <f t="shared" si="8"/>
        <v/>
      </c>
      <c r="AI127" s="230"/>
      <c r="AJ127" s="150"/>
      <c r="AT127" s="31" t="str">
        <f>IFERROR(INDEX('G-6 Hedgerow Data'!$BJ$3:$BJ$15,MATCH(M127,'G-6 Hedgerow Data'!$B$3:$B$15,0)),"")</f>
        <v/>
      </c>
    </row>
    <row r="128" spans="2:46" ht="14.25" x14ac:dyDescent="0.2">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c r="N128" s="497" t="str">
        <f>IFERROR(IF(B128="","",INDEX('G-6 Hedgerow Data'!$AN$3:$AZ$15,MATCH(C128,'G-6 Hedgerow Data'!$AM$3:$AM$15,0),MATCH(M128,'G-6 Hedgerow Data'!$AN$2:$AZ$2,0))),"")</f>
        <v/>
      </c>
      <c r="O128" s="498" t="str">
        <f t="shared" si="9"/>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0"/>
        <v/>
      </c>
      <c r="AB128" s="520" t="str">
        <f t="shared" si="11"/>
        <v/>
      </c>
      <c r="AC128" s="521" t="str">
        <f t="shared" si="7"/>
        <v/>
      </c>
      <c r="AD128" s="536" t="str">
        <f>IF(M128="","",VLOOKUP(M128,'G-6 Hedgerow Data'!$B$3:$AG$15,31,FALSE))</f>
        <v/>
      </c>
      <c r="AE128" s="506" t="str">
        <f t="shared" si="12"/>
        <v/>
      </c>
      <c r="AF128" s="506" t="str">
        <f t="shared" si="13"/>
        <v/>
      </c>
      <c r="AG128" s="523" t="str">
        <f>IFERROR(IF(O128="","",VLOOKUP(AD128,'G-3 Multipliers'!$P$3:$Q$6,2,FALSE)),"")</f>
        <v/>
      </c>
      <c r="AH128" s="512" t="str">
        <f t="shared" si="8"/>
        <v/>
      </c>
      <c r="AI128" s="230"/>
      <c r="AJ128" s="150"/>
      <c r="AT128" s="31" t="str">
        <f>IFERROR(INDEX('G-6 Hedgerow Data'!$BJ$3:$BJ$15,MATCH(M128,'G-6 Hedgerow Data'!$B$3:$B$15,0)),"")</f>
        <v/>
      </c>
    </row>
    <row r="129" spans="2:46" ht="14.25" x14ac:dyDescent="0.2">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c r="N129" s="497" t="str">
        <f>IFERROR(IF(B129="","",INDEX('G-6 Hedgerow Data'!$AN$3:$AZ$15,MATCH(C129,'G-6 Hedgerow Data'!$AM$3:$AM$15,0),MATCH(M129,'G-6 Hedgerow Data'!$AN$2:$AZ$2,0))),"")</f>
        <v/>
      </c>
      <c r="O129" s="498" t="str">
        <f t="shared" si="9"/>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0"/>
        <v/>
      </c>
      <c r="AB129" s="520" t="str">
        <f t="shared" si="11"/>
        <v/>
      </c>
      <c r="AC129" s="521" t="str">
        <f t="shared" si="7"/>
        <v/>
      </c>
      <c r="AD129" s="536" t="str">
        <f>IF(M129="","",VLOOKUP(M129,'G-6 Hedgerow Data'!$B$3:$AG$15,31,FALSE))</f>
        <v/>
      </c>
      <c r="AE129" s="506" t="str">
        <f t="shared" si="12"/>
        <v/>
      </c>
      <c r="AF129" s="506" t="str">
        <f t="shared" si="13"/>
        <v/>
      </c>
      <c r="AG129" s="523" t="str">
        <f>IFERROR(IF(O129="","",VLOOKUP(AD129,'G-3 Multipliers'!$P$3:$Q$6,2,FALSE)),"")</f>
        <v/>
      </c>
      <c r="AH129" s="512" t="str">
        <f t="shared" si="8"/>
        <v/>
      </c>
      <c r="AI129" s="230"/>
      <c r="AJ129" s="150"/>
      <c r="AT129" s="31" t="str">
        <f>IFERROR(INDEX('G-6 Hedgerow Data'!$BJ$3:$BJ$15,MATCH(M129,'G-6 Hedgerow Data'!$B$3:$B$15,0)),"")</f>
        <v/>
      </c>
    </row>
    <row r="130" spans="2:46" ht="14.25" x14ac:dyDescent="0.2">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c r="N130" s="497" t="str">
        <f>IFERROR(IF(B130="","",INDEX('G-6 Hedgerow Data'!$AN$3:$AZ$15,MATCH(C130,'G-6 Hedgerow Data'!$AM$3:$AM$15,0),MATCH(M130,'G-6 Hedgerow Data'!$AN$2:$AZ$2,0))),"")</f>
        <v/>
      </c>
      <c r="O130" s="498" t="str">
        <f t="shared" si="9"/>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0"/>
        <v/>
      </c>
      <c r="AB130" s="520" t="str">
        <f t="shared" si="11"/>
        <v/>
      </c>
      <c r="AC130" s="521" t="str">
        <f t="shared" si="7"/>
        <v/>
      </c>
      <c r="AD130" s="536" t="str">
        <f>IF(M130="","",VLOOKUP(M130,'G-6 Hedgerow Data'!$B$3:$AG$15,31,FALSE))</f>
        <v/>
      </c>
      <c r="AE130" s="506" t="str">
        <f t="shared" si="12"/>
        <v/>
      </c>
      <c r="AF130" s="506" t="str">
        <f t="shared" si="13"/>
        <v/>
      </c>
      <c r="AG130" s="523" t="str">
        <f>IFERROR(IF(O130="","",VLOOKUP(AD130,'G-3 Multipliers'!$P$3:$Q$6,2,FALSE)),"")</f>
        <v/>
      </c>
      <c r="AH130" s="512" t="str">
        <f t="shared" si="8"/>
        <v/>
      </c>
      <c r="AI130" s="230"/>
      <c r="AJ130" s="150"/>
      <c r="AT130" s="31" t="str">
        <f>IFERROR(INDEX('G-6 Hedgerow Data'!$BJ$3:$BJ$15,MATCH(M130,'G-6 Hedgerow Data'!$B$3:$B$15,0)),"")</f>
        <v/>
      </c>
    </row>
    <row r="131" spans="2:46" ht="14.25" x14ac:dyDescent="0.2">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c r="N131" s="497" t="str">
        <f>IFERROR(IF(B131="","",INDEX('G-6 Hedgerow Data'!$AN$3:$AZ$15,MATCH(C131,'G-6 Hedgerow Data'!$AM$3:$AM$15,0),MATCH(M131,'G-6 Hedgerow Data'!$AN$2:$AZ$2,0))),"")</f>
        <v/>
      </c>
      <c r="O131" s="498" t="str">
        <f t="shared" si="9"/>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0"/>
        <v/>
      </c>
      <c r="AB131" s="520" t="str">
        <f t="shared" si="11"/>
        <v/>
      </c>
      <c r="AC131" s="521" t="str">
        <f t="shared" si="7"/>
        <v/>
      </c>
      <c r="AD131" s="536" t="str">
        <f>IF(M131="","",VLOOKUP(M131,'G-6 Hedgerow Data'!$B$3:$AG$15,31,FALSE))</f>
        <v/>
      </c>
      <c r="AE131" s="506" t="str">
        <f t="shared" si="12"/>
        <v/>
      </c>
      <c r="AF131" s="506" t="str">
        <f t="shared" si="13"/>
        <v/>
      </c>
      <c r="AG131" s="523" t="str">
        <f>IFERROR(IF(O131="","",VLOOKUP(AD131,'G-3 Multipliers'!$P$3:$Q$6,2,FALSE)),"")</f>
        <v/>
      </c>
      <c r="AH131" s="512" t="str">
        <f t="shared" si="8"/>
        <v/>
      </c>
      <c r="AI131" s="230"/>
      <c r="AJ131" s="150"/>
      <c r="AT131" s="31" t="str">
        <f>IFERROR(INDEX('G-6 Hedgerow Data'!$BJ$3:$BJ$15,MATCH(M131,'G-6 Hedgerow Data'!$B$3:$B$15,0)),"")</f>
        <v/>
      </c>
    </row>
    <row r="132" spans="2:46" ht="14.25" x14ac:dyDescent="0.2">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c r="N132" s="497" t="str">
        <f>IFERROR(IF(B132="","",INDEX('G-6 Hedgerow Data'!$AN$3:$AZ$15,MATCH(C132,'G-6 Hedgerow Data'!$AM$3:$AM$15,0),MATCH(M132,'G-6 Hedgerow Data'!$AN$2:$AZ$2,0))),"")</f>
        <v/>
      </c>
      <c r="O132" s="498" t="str">
        <f t="shared" si="9"/>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0"/>
        <v/>
      </c>
      <c r="AB132" s="520" t="str">
        <f t="shared" si="11"/>
        <v/>
      </c>
      <c r="AC132" s="521" t="str">
        <f t="shared" si="7"/>
        <v/>
      </c>
      <c r="AD132" s="536" t="str">
        <f>IF(M132="","",VLOOKUP(M132,'G-6 Hedgerow Data'!$B$3:$AG$15,31,FALSE))</f>
        <v/>
      </c>
      <c r="AE132" s="506" t="str">
        <f t="shared" si="12"/>
        <v/>
      </c>
      <c r="AF132" s="506" t="str">
        <f t="shared" si="13"/>
        <v/>
      </c>
      <c r="AG132" s="523" t="str">
        <f>IFERROR(IF(O132="","",VLOOKUP(AD132,'G-3 Multipliers'!$P$3:$Q$6,2,FALSE)),"")</f>
        <v/>
      </c>
      <c r="AH132" s="512" t="str">
        <f t="shared" si="8"/>
        <v/>
      </c>
      <c r="AI132" s="230"/>
      <c r="AJ132" s="150"/>
      <c r="AT132" s="31" t="str">
        <f>IFERROR(INDEX('G-6 Hedgerow Data'!$BJ$3:$BJ$15,MATCH(M132,'G-6 Hedgerow Data'!$B$3:$B$15,0)),"")</f>
        <v/>
      </c>
    </row>
    <row r="133" spans="2:46" ht="14.25" x14ac:dyDescent="0.2">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c r="N133" s="497" t="str">
        <f>IFERROR(IF(B133="","",INDEX('G-6 Hedgerow Data'!$AN$3:$AZ$15,MATCH(C133,'G-6 Hedgerow Data'!$AM$3:$AM$15,0),MATCH(M133,'G-6 Hedgerow Data'!$AN$2:$AZ$2,0))),"")</f>
        <v/>
      </c>
      <c r="O133" s="498" t="str">
        <f t="shared" si="9"/>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0"/>
        <v/>
      </c>
      <c r="AB133" s="520" t="str">
        <f t="shared" si="11"/>
        <v/>
      </c>
      <c r="AC133" s="521" t="str">
        <f t="shared" si="7"/>
        <v/>
      </c>
      <c r="AD133" s="536" t="str">
        <f>IF(M133="","",VLOOKUP(M133,'G-6 Hedgerow Data'!$B$3:$AG$15,31,FALSE))</f>
        <v/>
      </c>
      <c r="AE133" s="506" t="str">
        <f t="shared" si="12"/>
        <v/>
      </c>
      <c r="AF133" s="506" t="str">
        <f t="shared" si="13"/>
        <v/>
      </c>
      <c r="AG133" s="523" t="str">
        <f>IFERROR(IF(O133="","",VLOOKUP(AD133,'G-3 Multipliers'!$P$3:$Q$6,2,FALSE)),"")</f>
        <v/>
      </c>
      <c r="AH133" s="512" t="str">
        <f t="shared" si="8"/>
        <v/>
      </c>
      <c r="AI133" s="230"/>
      <c r="AJ133" s="150"/>
      <c r="AT133" s="31" t="str">
        <f>IFERROR(INDEX('G-6 Hedgerow Data'!$BJ$3:$BJ$15,MATCH(M133,'G-6 Hedgerow Data'!$B$3:$B$15,0)),"")</f>
        <v/>
      </c>
    </row>
    <row r="134" spans="2:46" ht="14.25" x14ac:dyDescent="0.2">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c r="N134" s="497" t="str">
        <f>IFERROR(IF(B134="","",INDEX('G-6 Hedgerow Data'!$AN$3:$AZ$15,MATCH(C134,'G-6 Hedgerow Data'!$AM$3:$AM$15,0),MATCH(M134,'G-6 Hedgerow Data'!$AN$2:$AZ$2,0))),"")</f>
        <v/>
      </c>
      <c r="O134" s="498" t="str">
        <f t="shared" si="9"/>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0"/>
        <v/>
      </c>
      <c r="AB134" s="520" t="str">
        <f t="shared" si="11"/>
        <v/>
      </c>
      <c r="AC134" s="521" t="str">
        <f t="shared" si="7"/>
        <v/>
      </c>
      <c r="AD134" s="536" t="str">
        <f>IF(M134="","",VLOOKUP(M134,'G-6 Hedgerow Data'!$B$3:$AG$15,31,FALSE))</f>
        <v/>
      </c>
      <c r="AE134" s="506" t="str">
        <f t="shared" si="12"/>
        <v/>
      </c>
      <c r="AF134" s="506" t="str">
        <f t="shared" si="13"/>
        <v/>
      </c>
      <c r="AG134" s="523" t="str">
        <f>IFERROR(IF(O134="","",VLOOKUP(AD134,'G-3 Multipliers'!$P$3:$Q$6,2,FALSE)),"")</f>
        <v/>
      </c>
      <c r="AH134" s="512" t="str">
        <f t="shared" si="8"/>
        <v/>
      </c>
      <c r="AI134" s="230"/>
      <c r="AJ134" s="150"/>
      <c r="AT134" s="31" t="str">
        <f>IFERROR(INDEX('G-6 Hedgerow Data'!$BJ$3:$BJ$15,MATCH(M134,'G-6 Hedgerow Data'!$B$3:$B$15,0)),"")</f>
        <v/>
      </c>
    </row>
    <row r="135" spans="2:46" ht="14.25" x14ac:dyDescent="0.2">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c r="N135" s="497" t="str">
        <f>IFERROR(IF(B135="","",INDEX('G-6 Hedgerow Data'!$AN$3:$AZ$15,MATCH(C135,'G-6 Hedgerow Data'!$AM$3:$AM$15,0),MATCH(M135,'G-6 Hedgerow Data'!$AN$2:$AZ$2,0))),"")</f>
        <v/>
      </c>
      <c r="O135" s="498" t="str">
        <f t="shared" si="9"/>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0"/>
        <v/>
      </c>
      <c r="AB135" s="520" t="str">
        <f t="shared" si="11"/>
        <v/>
      </c>
      <c r="AC135" s="521" t="str">
        <f t="shared" si="7"/>
        <v/>
      </c>
      <c r="AD135" s="536" t="str">
        <f>IF(M135="","",VLOOKUP(M135,'G-6 Hedgerow Data'!$B$3:$AG$15,31,FALSE))</f>
        <v/>
      </c>
      <c r="AE135" s="506" t="str">
        <f t="shared" si="12"/>
        <v/>
      </c>
      <c r="AF135" s="506" t="str">
        <f t="shared" si="13"/>
        <v/>
      </c>
      <c r="AG135" s="523" t="str">
        <f>IFERROR(IF(O135="","",VLOOKUP(AD135,'G-3 Multipliers'!$P$3:$Q$6,2,FALSE)),"")</f>
        <v/>
      </c>
      <c r="AH135" s="512" t="str">
        <f t="shared" si="8"/>
        <v/>
      </c>
      <c r="AI135" s="230"/>
      <c r="AJ135" s="150"/>
      <c r="AT135" s="31" t="str">
        <f>IFERROR(INDEX('G-6 Hedgerow Data'!$BJ$3:$BJ$15,MATCH(M135,'G-6 Hedgerow Data'!$B$3:$B$15,0)),"")</f>
        <v/>
      </c>
    </row>
    <row r="136" spans="2:46" ht="14.25" x14ac:dyDescent="0.2">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c r="N136" s="497" t="str">
        <f>IFERROR(IF(B136="","",INDEX('G-6 Hedgerow Data'!$AN$3:$AZ$15,MATCH(C136,'G-6 Hedgerow Data'!$AM$3:$AM$15,0),MATCH(M136,'G-6 Hedgerow Data'!$AN$2:$AZ$2,0))),"")</f>
        <v/>
      </c>
      <c r="O136" s="498" t="str">
        <f t="shared" si="9"/>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0"/>
        <v/>
      </c>
      <c r="AB136" s="520" t="str">
        <f t="shared" si="11"/>
        <v/>
      </c>
      <c r="AC136" s="521" t="str">
        <f t="shared" si="7"/>
        <v/>
      </c>
      <c r="AD136" s="536" t="str">
        <f>IF(M136="","",VLOOKUP(M136,'G-6 Hedgerow Data'!$B$3:$AG$15,31,FALSE))</f>
        <v/>
      </c>
      <c r="AE136" s="506" t="str">
        <f t="shared" si="12"/>
        <v/>
      </c>
      <c r="AF136" s="506" t="str">
        <f t="shared" si="13"/>
        <v/>
      </c>
      <c r="AG136" s="523" t="str">
        <f>IFERROR(IF(O136="","",VLOOKUP(AD136,'G-3 Multipliers'!$P$3:$Q$6,2,FALSE)),"")</f>
        <v/>
      </c>
      <c r="AH136" s="512" t="str">
        <f t="shared" si="8"/>
        <v/>
      </c>
      <c r="AI136" s="230"/>
      <c r="AJ136" s="150"/>
      <c r="AT136" s="31" t="str">
        <f>IFERROR(INDEX('G-6 Hedgerow Data'!$BJ$3:$BJ$15,MATCH(M136,'G-6 Hedgerow Data'!$B$3:$B$15,0)),"")</f>
        <v/>
      </c>
    </row>
    <row r="137" spans="2:46" ht="14.25" x14ac:dyDescent="0.2">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c r="N137" s="497" t="str">
        <f>IFERROR(IF(B137="","",INDEX('G-6 Hedgerow Data'!$AN$3:$AZ$15,MATCH(C137,'G-6 Hedgerow Data'!$AM$3:$AM$15,0),MATCH(M137,'G-6 Hedgerow Data'!$AN$2:$AZ$2,0))),"")</f>
        <v/>
      </c>
      <c r="O137" s="498" t="str">
        <f t="shared" si="9"/>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0"/>
        <v/>
      </c>
      <c r="AB137" s="520" t="str">
        <f t="shared" si="11"/>
        <v/>
      </c>
      <c r="AC137" s="521" t="str">
        <f t="shared" si="7"/>
        <v/>
      </c>
      <c r="AD137" s="536" t="str">
        <f>IF(M137="","",VLOOKUP(M137,'G-6 Hedgerow Data'!$B$3:$AG$15,31,FALSE))</f>
        <v/>
      </c>
      <c r="AE137" s="506" t="str">
        <f t="shared" si="12"/>
        <v/>
      </c>
      <c r="AF137" s="506" t="str">
        <f t="shared" si="13"/>
        <v/>
      </c>
      <c r="AG137" s="523" t="str">
        <f>IFERROR(IF(O137="","",VLOOKUP(AD137,'G-3 Multipliers'!$P$3:$Q$6,2,FALSE)),"")</f>
        <v/>
      </c>
      <c r="AH137" s="512" t="str">
        <f t="shared" si="8"/>
        <v/>
      </c>
      <c r="AI137" s="230"/>
      <c r="AJ137" s="150"/>
      <c r="AT137" s="31" t="str">
        <f>IFERROR(INDEX('G-6 Hedgerow Data'!$BJ$3:$BJ$15,MATCH(M137,'G-6 Hedgerow Data'!$B$3:$B$15,0)),"")</f>
        <v/>
      </c>
    </row>
    <row r="138" spans="2:46" ht="14.25" x14ac:dyDescent="0.2">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c r="N138" s="497" t="str">
        <f>IFERROR(IF(B138="","",INDEX('G-6 Hedgerow Data'!$AN$3:$AZ$15,MATCH(C138,'G-6 Hedgerow Data'!$AM$3:$AM$15,0),MATCH(M138,'G-6 Hedgerow Data'!$AN$2:$AZ$2,0))),"")</f>
        <v/>
      </c>
      <c r="O138" s="498" t="str">
        <f t="shared" si="9"/>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0"/>
        <v/>
      </c>
      <c r="AB138" s="520" t="str">
        <f t="shared" si="11"/>
        <v/>
      </c>
      <c r="AC138" s="521" t="str">
        <f t="shared" si="7"/>
        <v/>
      </c>
      <c r="AD138" s="536" t="str">
        <f>IF(M138="","",VLOOKUP(M138,'G-6 Hedgerow Data'!$B$3:$AG$15,31,FALSE))</f>
        <v/>
      </c>
      <c r="AE138" s="506" t="str">
        <f t="shared" si="12"/>
        <v/>
      </c>
      <c r="AF138" s="506" t="str">
        <f t="shared" si="13"/>
        <v/>
      </c>
      <c r="AG138" s="523" t="str">
        <f>IFERROR(IF(O138="","",VLOOKUP(AD138,'G-3 Multipliers'!$P$3:$Q$6,2,FALSE)),"")</f>
        <v/>
      </c>
      <c r="AH138" s="512" t="str">
        <f t="shared" si="8"/>
        <v/>
      </c>
      <c r="AI138" s="230"/>
      <c r="AJ138" s="150"/>
      <c r="AT138" s="31" t="str">
        <f>IFERROR(INDEX('G-6 Hedgerow Data'!$BJ$3:$BJ$15,MATCH(M138,'G-6 Hedgerow Data'!$B$3:$B$15,0)),"")</f>
        <v/>
      </c>
    </row>
    <row r="139" spans="2:46" ht="14.25" x14ac:dyDescent="0.2">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c r="N139" s="497" t="str">
        <f>IFERROR(IF(B139="","",INDEX('G-6 Hedgerow Data'!$AN$3:$AZ$15,MATCH(C139,'G-6 Hedgerow Data'!$AM$3:$AM$15,0),MATCH(M139,'G-6 Hedgerow Data'!$AN$2:$AZ$2,0))),"")</f>
        <v/>
      </c>
      <c r="O139" s="498" t="str">
        <f t="shared" si="9"/>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0"/>
        <v/>
      </c>
      <c r="AB139" s="520" t="str">
        <f t="shared" si="11"/>
        <v/>
      </c>
      <c r="AC139" s="521" t="str">
        <f t="shared" si="7"/>
        <v/>
      </c>
      <c r="AD139" s="536" t="str">
        <f>IF(M139="","",VLOOKUP(M139,'G-6 Hedgerow Data'!$B$3:$AG$15,31,FALSE))</f>
        <v/>
      </c>
      <c r="AE139" s="506" t="str">
        <f t="shared" si="12"/>
        <v/>
      </c>
      <c r="AF139" s="506" t="str">
        <f t="shared" si="13"/>
        <v/>
      </c>
      <c r="AG139" s="523" t="str">
        <f>IFERROR(IF(O139="","",VLOOKUP(AD139,'G-3 Multipliers'!$P$3:$Q$6,2,FALSE)),"")</f>
        <v/>
      </c>
      <c r="AH139" s="512" t="str">
        <f t="shared" si="8"/>
        <v/>
      </c>
      <c r="AI139" s="230"/>
      <c r="AJ139" s="150"/>
      <c r="AT139" s="31" t="str">
        <f>IFERROR(INDEX('G-6 Hedgerow Data'!$BJ$3:$BJ$15,MATCH(M139,'G-6 Hedgerow Data'!$B$3:$B$15,0)),"")</f>
        <v/>
      </c>
    </row>
    <row r="140" spans="2:46" ht="14.25" x14ac:dyDescent="0.2">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c r="N140" s="497" t="str">
        <f>IFERROR(IF(B140="","",INDEX('G-6 Hedgerow Data'!$AN$3:$AZ$15,MATCH(C140,'G-6 Hedgerow Data'!$AM$3:$AM$15,0),MATCH(M140,'G-6 Hedgerow Data'!$AN$2:$AZ$2,0))),"")</f>
        <v/>
      </c>
      <c r="O140" s="498" t="str">
        <f t="shared" si="9"/>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0"/>
        <v/>
      </c>
      <c r="AB140" s="520" t="str">
        <f t="shared" si="11"/>
        <v/>
      </c>
      <c r="AC140" s="521" t="str">
        <f t="shared" ref="AC140:AC203" si="14">IF(OR(S140="",M140=""),"",IF(LEFT(AB140,5)="Error ▲","Check Data ⚠",IF(AB140="Check Data ⚠","Check Data ⚠",VLOOKUP(AB140,TemporalMultipliers,3,FALSE))))</f>
        <v/>
      </c>
      <c r="AD140" s="536" t="str">
        <f>IF(M140="","",VLOOKUP(M140,'G-6 Hedgerow Data'!$B$3:$AG$15,31,FALSE))</f>
        <v/>
      </c>
      <c r="AE140" s="506" t="str">
        <f t="shared" si="12"/>
        <v/>
      </c>
      <c r="AF140" s="506" t="str">
        <f t="shared" si="13"/>
        <v/>
      </c>
      <c r="AG140" s="523" t="str">
        <f>IFERROR(IF(O140="","",VLOOKUP(AD140,'G-3 Multipliers'!$P$3:$Q$6,2,FALSE)),"")</f>
        <v/>
      </c>
      <c r="AH140" s="512" t="str">
        <f t="shared" ref="AH140:AH203" si="15">IFERROR(IF(OR(M140="",S140="",U140=""),"",(((((P140*R140*T140)-(P140*F140*H140))*(AG140*AC140))+(P140*F140*H140))*(W140))),"")</f>
        <v/>
      </c>
      <c r="AI140" s="230"/>
      <c r="AJ140" s="150"/>
      <c r="AT140" s="31" t="str">
        <f>IFERROR(INDEX('G-6 Hedgerow Data'!$BJ$3:$BJ$15,MATCH(M140,'G-6 Hedgerow Data'!$B$3:$B$15,0)),"")</f>
        <v/>
      </c>
    </row>
    <row r="141" spans="2:46" ht="14.25" x14ac:dyDescent="0.2">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c r="N141" s="497" t="str">
        <f>IFERROR(IF(B141="","",INDEX('G-6 Hedgerow Data'!$AN$3:$AZ$15,MATCH(C141,'G-6 Hedgerow Data'!$AM$3:$AM$15,0),MATCH(M141,'G-6 Hedgerow Data'!$AN$2:$AZ$2,0))),"")</f>
        <v/>
      </c>
      <c r="O141" s="498" t="str">
        <f t="shared" ref="O141:O204" si="16">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7">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18">IF(X141="","",IF(AA141="Check Data ⚠","Check Data ⚠",IF(Y141="30+",0,IF(Z141="30+","30+ ⚠",IF(X141+Z141&gt;30,"30+ ⚠",IF(LEFT(AA141,5)="Error ▲","Check Data ⚠",IF(X141+Z141-Y141&gt;0,X141+Z141-Y141,IF(X141-Y141&lt;=0,0,))))))))</f>
        <v/>
      </c>
      <c r="AC141" s="521" t="str">
        <f t="shared" si="14"/>
        <v/>
      </c>
      <c r="AD141" s="536" t="str">
        <f>IF(M141="","",VLOOKUP(M141,'G-6 Hedgerow Data'!$B$3:$AG$15,31,FALSE))</f>
        <v/>
      </c>
      <c r="AE141" s="506" t="str">
        <f t="shared" ref="AE141:AE204" si="19">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0">(IF(AND(AE141="Standard difficulty applied",X141&gt;Y141),AD141,IF(AND(AE141="Low Difficulty - only applicable if all habitat created before losses ⚠",Y141&gt;=X141),"Low",AD141)))</f>
        <v/>
      </c>
      <c r="AG141" s="523" t="str">
        <f>IFERROR(IF(O141="","",VLOOKUP(AD141,'G-3 Multipliers'!$P$3:$Q$6,2,FALSE)),"")</f>
        <v/>
      </c>
      <c r="AH141" s="512" t="str">
        <f t="shared" si="15"/>
        <v/>
      </c>
      <c r="AI141" s="230"/>
      <c r="AJ141" s="150"/>
      <c r="AT141" s="31" t="str">
        <f>IFERROR(INDEX('G-6 Hedgerow Data'!$BJ$3:$BJ$15,MATCH(M141,'G-6 Hedgerow Data'!$B$3:$B$15,0)),"")</f>
        <v/>
      </c>
    </row>
    <row r="142" spans="2:46" ht="14.25" x14ac:dyDescent="0.2">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c r="N142" s="497" t="str">
        <f>IFERROR(IF(B142="","",INDEX('G-6 Hedgerow Data'!$AN$3:$AZ$15,MATCH(C142,'G-6 Hedgerow Data'!$AM$3:$AM$15,0),MATCH(M142,'G-6 Hedgerow Data'!$AN$2:$AZ$2,0))),"")</f>
        <v/>
      </c>
      <c r="O142" s="498" t="str">
        <f t="shared" si="16"/>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7"/>
        <v/>
      </c>
      <c r="AB142" s="520" t="str">
        <f t="shared" si="18"/>
        <v/>
      </c>
      <c r="AC142" s="521" t="str">
        <f t="shared" si="14"/>
        <v/>
      </c>
      <c r="AD142" s="536" t="str">
        <f>IF(M142="","",VLOOKUP(M142,'G-6 Hedgerow Data'!$B$3:$AG$15,31,FALSE))</f>
        <v/>
      </c>
      <c r="AE142" s="506" t="str">
        <f t="shared" si="19"/>
        <v/>
      </c>
      <c r="AF142" s="506" t="str">
        <f t="shared" si="20"/>
        <v/>
      </c>
      <c r="AG142" s="523" t="str">
        <f>IFERROR(IF(O142="","",VLOOKUP(AD142,'G-3 Multipliers'!$P$3:$Q$6,2,FALSE)),"")</f>
        <v/>
      </c>
      <c r="AH142" s="512" t="str">
        <f t="shared" si="15"/>
        <v/>
      </c>
      <c r="AI142" s="230"/>
      <c r="AJ142" s="150"/>
      <c r="AT142" s="31" t="str">
        <f>IFERROR(INDEX('G-6 Hedgerow Data'!$BJ$3:$BJ$15,MATCH(M142,'G-6 Hedgerow Data'!$B$3:$B$15,0)),"")</f>
        <v/>
      </c>
    </row>
    <row r="143" spans="2:46" ht="14.25" x14ac:dyDescent="0.2">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c r="N143" s="497" t="str">
        <f>IFERROR(IF(B143="","",INDEX('G-6 Hedgerow Data'!$AN$3:$AZ$15,MATCH(C143,'G-6 Hedgerow Data'!$AM$3:$AM$15,0),MATCH(M143,'G-6 Hedgerow Data'!$AN$2:$AZ$2,0))),"")</f>
        <v/>
      </c>
      <c r="O143" s="498" t="str">
        <f t="shared" si="16"/>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7"/>
        <v/>
      </c>
      <c r="AB143" s="520" t="str">
        <f t="shared" si="18"/>
        <v/>
      </c>
      <c r="AC143" s="521" t="str">
        <f t="shared" si="14"/>
        <v/>
      </c>
      <c r="AD143" s="536" t="str">
        <f>IF(M143="","",VLOOKUP(M143,'G-6 Hedgerow Data'!$B$3:$AG$15,31,FALSE))</f>
        <v/>
      </c>
      <c r="AE143" s="506" t="str">
        <f t="shared" si="19"/>
        <v/>
      </c>
      <c r="AF143" s="506" t="str">
        <f t="shared" si="20"/>
        <v/>
      </c>
      <c r="AG143" s="523" t="str">
        <f>IFERROR(IF(O143="","",VLOOKUP(AD143,'G-3 Multipliers'!$P$3:$Q$6,2,FALSE)),"")</f>
        <v/>
      </c>
      <c r="AH143" s="512" t="str">
        <f t="shared" si="15"/>
        <v/>
      </c>
      <c r="AI143" s="230"/>
      <c r="AJ143" s="150"/>
      <c r="AT143" s="31" t="str">
        <f>IFERROR(INDEX('G-6 Hedgerow Data'!$BJ$3:$BJ$15,MATCH(M143,'G-6 Hedgerow Data'!$B$3:$B$15,0)),"")</f>
        <v/>
      </c>
    </row>
    <row r="144" spans="2:46" ht="14.25" x14ac:dyDescent="0.2">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c r="N144" s="497" t="str">
        <f>IFERROR(IF(B144="","",INDEX('G-6 Hedgerow Data'!$AN$3:$AZ$15,MATCH(C144,'G-6 Hedgerow Data'!$AM$3:$AM$15,0),MATCH(M144,'G-6 Hedgerow Data'!$AN$2:$AZ$2,0))),"")</f>
        <v/>
      </c>
      <c r="O144" s="498" t="str">
        <f t="shared" si="16"/>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7"/>
        <v/>
      </c>
      <c r="AB144" s="520" t="str">
        <f t="shared" si="18"/>
        <v/>
      </c>
      <c r="AC144" s="521" t="str">
        <f t="shared" si="14"/>
        <v/>
      </c>
      <c r="AD144" s="536" t="str">
        <f>IF(M144="","",VLOOKUP(M144,'G-6 Hedgerow Data'!$B$3:$AG$15,31,FALSE))</f>
        <v/>
      </c>
      <c r="AE144" s="506" t="str">
        <f t="shared" si="19"/>
        <v/>
      </c>
      <c r="AF144" s="506" t="str">
        <f t="shared" si="20"/>
        <v/>
      </c>
      <c r="AG144" s="523" t="str">
        <f>IFERROR(IF(O144="","",VLOOKUP(AD144,'G-3 Multipliers'!$P$3:$Q$6,2,FALSE)),"")</f>
        <v/>
      </c>
      <c r="AH144" s="512" t="str">
        <f t="shared" si="15"/>
        <v/>
      </c>
      <c r="AI144" s="230"/>
      <c r="AJ144" s="150"/>
      <c r="AT144" s="31" t="str">
        <f>IFERROR(INDEX('G-6 Hedgerow Data'!$BJ$3:$BJ$15,MATCH(M144,'G-6 Hedgerow Data'!$B$3:$B$15,0)),"")</f>
        <v/>
      </c>
    </row>
    <row r="145" spans="2:46" ht="14.25" x14ac:dyDescent="0.2">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c r="N145" s="497" t="str">
        <f>IFERROR(IF(B145="","",INDEX('G-6 Hedgerow Data'!$AN$3:$AZ$15,MATCH(C145,'G-6 Hedgerow Data'!$AM$3:$AM$15,0),MATCH(M145,'G-6 Hedgerow Data'!$AN$2:$AZ$2,0))),"")</f>
        <v/>
      </c>
      <c r="O145" s="498" t="str">
        <f t="shared" si="16"/>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7"/>
        <v/>
      </c>
      <c r="AB145" s="520" t="str">
        <f t="shared" si="18"/>
        <v/>
      </c>
      <c r="AC145" s="521" t="str">
        <f t="shared" si="14"/>
        <v/>
      </c>
      <c r="AD145" s="536" t="str">
        <f>IF(M145="","",VLOOKUP(M145,'G-6 Hedgerow Data'!$B$3:$AG$15,31,FALSE))</f>
        <v/>
      </c>
      <c r="AE145" s="506" t="str">
        <f t="shared" si="19"/>
        <v/>
      </c>
      <c r="AF145" s="506" t="str">
        <f t="shared" si="20"/>
        <v/>
      </c>
      <c r="AG145" s="523" t="str">
        <f>IFERROR(IF(O145="","",VLOOKUP(AD145,'G-3 Multipliers'!$P$3:$Q$6,2,FALSE)),"")</f>
        <v/>
      </c>
      <c r="AH145" s="512" t="str">
        <f t="shared" si="15"/>
        <v/>
      </c>
      <c r="AI145" s="230"/>
      <c r="AJ145" s="150"/>
      <c r="AT145" s="31" t="str">
        <f>IFERROR(INDEX('G-6 Hedgerow Data'!$BJ$3:$BJ$15,MATCH(M145,'G-6 Hedgerow Data'!$B$3:$B$15,0)),"")</f>
        <v/>
      </c>
    </row>
    <row r="146" spans="2:46" ht="14.25" x14ac:dyDescent="0.2">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c r="N146" s="497" t="str">
        <f>IFERROR(IF(B146="","",INDEX('G-6 Hedgerow Data'!$AN$3:$AZ$15,MATCH(C146,'G-6 Hedgerow Data'!$AM$3:$AM$15,0),MATCH(M146,'G-6 Hedgerow Data'!$AN$2:$AZ$2,0))),"")</f>
        <v/>
      </c>
      <c r="O146" s="498" t="str">
        <f t="shared" si="16"/>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7"/>
        <v/>
      </c>
      <c r="AB146" s="520" t="str">
        <f t="shared" si="18"/>
        <v/>
      </c>
      <c r="AC146" s="521" t="str">
        <f t="shared" si="14"/>
        <v/>
      </c>
      <c r="AD146" s="536" t="str">
        <f>IF(M146="","",VLOOKUP(M146,'G-6 Hedgerow Data'!$B$3:$AG$15,31,FALSE))</f>
        <v/>
      </c>
      <c r="AE146" s="506" t="str">
        <f t="shared" si="19"/>
        <v/>
      </c>
      <c r="AF146" s="506" t="str">
        <f t="shared" si="20"/>
        <v/>
      </c>
      <c r="AG146" s="523" t="str">
        <f>IFERROR(IF(O146="","",VLOOKUP(AD146,'G-3 Multipliers'!$P$3:$Q$6,2,FALSE)),"")</f>
        <v/>
      </c>
      <c r="AH146" s="512" t="str">
        <f t="shared" si="15"/>
        <v/>
      </c>
      <c r="AI146" s="230"/>
      <c r="AJ146" s="150"/>
      <c r="AT146" s="31" t="str">
        <f>IFERROR(INDEX('G-6 Hedgerow Data'!$BJ$3:$BJ$15,MATCH(M146,'G-6 Hedgerow Data'!$B$3:$B$15,0)),"")</f>
        <v/>
      </c>
    </row>
    <row r="147" spans="2:46" ht="14.25" x14ac:dyDescent="0.2">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c r="N147" s="497" t="str">
        <f>IFERROR(IF(B147="","",INDEX('G-6 Hedgerow Data'!$AN$3:$AZ$15,MATCH(C147,'G-6 Hedgerow Data'!$AM$3:$AM$15,0),MATCH(M147,'G-6 Hedgerow Data'!$AN$2:$AZ$2,0))),"")</f>
        <v/>
      </c>
      <c r="O147" s="498" t="str">
        <f t="shared" si="16"/>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7"/>
        <v/>
      </c>
      <c r="AB147" s="520" t="str">
        <f t="shared" si="18"/>
        <v/>
      </c>
      <c r="AC147" s="521" t="str">
        <f t="shared" si="14"/>
        <v/>
      </c>
      <c r="AD147" s="536" t="str">
        <f>IF(M147="","",VLOOKUP(M147,'G-6 Hedgerow Data'!$B$3:$AG$15,31,FALSE))</f>
        <v/>
      </c>
      <c r="AE147" s="506" t="str">
        <f t="shared" si="19"/>
        <v/>
      </c>
      <c r="AF147" s="506" t="str">
        <f t="shared" si="20"/>
        <v/>
      </c>
      <c r="AG147" s="523" t="str">
        <f>IFERROR(IF(O147="","",VLOOKUP(AD147,'G-3 Multipliers'!$P$3:$Q$6,2,FALSE)),"")</f>
        <v/>
      </c>
      <c r="AH147" s="512" t="str">
        <f t="shared" si="15"/>
        <v/>
      </c>
      <c r="AI147" s="230"/>
      <c r="AJ147" s="150"/>
      <c r="AT147" s="31" t="str">
        <f>IFERROR(INDEX('G-6 Hedgerow Data'!$BJ$3:$BJ$15,MATCH(M147,'G-6 Hedgerow Data'!$B$3:$B$15,0)),"")</f>
        <v/>
      </c>
    </row>
    <row r="148" spans="2:46" ht="14.25" x14ac:dyDescent="0.2">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c r="N148" s="497" t="str">
        <f>IFERROR(IF(B148="","",INDEX('G-6 Hedgerow Data'!$AN$3:$AZ$15,MATCH(C148,'G-6 Hedgerow Data'!$AM$3:$AM$15,0),MATCH(M148,'G-6 Hedgerow Data'!$AN$2:$AZ$2,0))),"")</f>
        <v/>
      </c>
      <c r="O148" s="498" t="str">
        <f t="shared" si="16"/>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7"/>
        <v/>
      </c>
      <c r="AB148" s="520" t="str">
        <f t="shared" si="18"/>
        <v/>
      </c>
      <c r="AC148" s="521" t="str">
        <f t="shared" si="14"/>
        <v/>
      </c>
      <c r="AD148" s="536" t="str">
        <f>IF(M148="","",VLOOKUP(M148,'G-6 Hedgerow Data'!$B$3:$AG$15,31,FALSE))</f>
        <v/>
      </c>
      <c r="AE148" s="506" t="str">
        <f t="shared" si="19"/>
        <v/>
      </c>
      <c r="AF148" s="506" t="str">
        <f t="shared" si="20"/>
        <v/>
      </c>
      <c r="AG148" s="523" t="str">
        <f>IFERROR(IF(O148="","",VLOOKUP(AD148,'G-3 Multipliers'!$P$3:$Q$6,2,FALSE)),"")</f>
        <v/>
      </c>
      <c r="AH148" s="512" t="str">
        <f t="shared" si="15"/>
        <v/>
      </c>
      <c r="AI148" s="230"/>
      <c r="AJ148" s="150"/>
      <c r="AT148" s="31" t="str">
        <f>IFERROR(INDEX('G-6 Hedgerow Data'!$BJ$3:$BJ$15,MATCH(M148,'G-6 Hedgerow Data'!$B$3:$B$15,0)),"")</f>
        <v/>
      </c>
    </row>
    <row r="149" spans="2:46" ht="14.25" x14ac:dyDescent="0.2">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c r="N149" s="497" t="str">
        <f>IFERROR(IF(B149="","",INDEX('G-6 Hedgerow Data'!$AN$3:$AZ$15,MATCH(C149,'G-6 Hedgerow Data'!$AM$3:$AM$15,0),MATCH(M149,'G-6 Hedgerow Data'!$AN$2:$AZ$2,0))),"")</f>
        <v/>
      </c>
      <c r="O149" s="498" t="str">
        <f t="shared" si="16"/>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7"/>
        <v/>
      </c>
      <c r="AB149" s="520" t="str">
        <f t="shared" si="18"/>
        <v/>
      </c>
      <c r="AC149" s="521" t="str">
        <f t="shared" si="14"/>
        <v/>
      </c>
      <c r="AD149" s="536" t="str">
        <f>IF(M149="","",VLOOKUP(M149,'G-6 Hedgerow Data'!$B$3:$AG$15,31,FALSE))</f>
        <v/>
      </c>
      <c r="AE149" s="506" t="str">
        <f t="shared" si="19"/>
        <v/>
      </c>
      <c r="AF149" s="506" t="str">
        <f t="shared" si="20"/>
        <v/>
      </c>
      <c r="AG149" s="523" t="str">
        <f>IFERROR(IF(O149="","",VLOOKUP(AD149,'G-3 Multipliers'!$P$3:$Q$6,2,FALSE)),"")</f>
        <v/>
      </c>
      <c r="AH149" s="512" t="str">
        <f t="shared" si="15"/>
        <v/>
      </c>
      <c r="AI149" s="230"/>
      <c r="AJ149" s="150"/>
      <c r="AT149" s="31" t="str">
        <f>IFERROR(INDEX('G-6 Hedgerow Data'!$BJ$3:$BJ$15,MATCH(M149,'G-6 Hedgerow Data'!$B$3:$B$15,0)),"")</f>
        <v/>
      </c>
    </row>
    <row r="150" spans="2:46" ht="14.25" x14ac:dyDescent="0.2">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c r="N150" s="497" t="str">
        <f>IFERROR(IF(B150="","",INDEX('G-6 Hedgerow Data'!$AN$3:$AZ$15,MATCH(C150,'G-6 Hedgerow Data'!$AM$3:$AM$15,0),MATCH(M150,'G-6 Hedgerow Data'!$AN$2:$AZ$2,0))),"")</f>
        <v/>
      </c>
      <c r="O150" s="498" t="str">
        <f t="shared" si="16"/>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7"/>
        <v/>
      </c>
      <c r="AB150" s="520" t="str">
        <f t="shared" si="18"/>
        <v/>
      </c>
      <c r="AC150" s="521" t="str">
        <f t="shared" si="14"/>
        <v/>
      </c>
      <c r="AD150" s="536" t="str">
        <f>IF(M150="","",VLOOKUP(M150,'G-6 Hedgerow Data'!$B$3:$AG$15,31,FALSE))</f>
        <v/>
      </c>
      <c r="AE150" s="506" t="str">
        <f t="shared" si="19"/>
        <v/>
      </c>
      <c r="AF150" s="506" t="str">
        <f t="shared" si="20"/>
        <v/>
      </c>
      <c r="AG150" s="523" t="str">
        <f>IFERROR(IF(O150="","",VLOOKUP(AD150,'G-3 Multipliers'!$P$3:$Q$6,2,FALSE)),"")</f>
        <v/>
      </c>
      <c r="AH150" s="512" t="str">
        <f t="shared" si="15"/>
        <v/>
      </c>
      <c r="AI150" s="230"/>
      <c r="AJ150" s="150"/>
      <c r="AT150" s="31" t="str">
        <f>IFERROR(INDEX('G-6 Hedgerow Data'!$BJ$3:$BJ$15,MATCH(M150,'G-6 Hedgerow Data'!$B$3:$B$15,0)),"")</f>
        <v/>
      </c>
    </row>
    <row r="151" spans="2:46" ht="14.25" x14ac:dyDescent="0.2">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c r="N151" s="497" t="str">
        <f>IFERROR(IF(B151="","",INDEX('G-6 Hedgerow Data'!$AN$3:$AZ$15,MATCH(C151,'G-6 Hedgerow Data'!$AM$3:$AM$15,0),MATCH(M151,'G-6 Hedgerow Data'!$AN$2:$AZ$2,0))),"")</f>
        <v/>
      </c>
      <c r="O151" s="498" t="str">
        <f t="shared" si="16"/>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7"/>
        <v/>
      </c>
      <c r="AB151" s="520" t="str">
        <f t="shared" si="18"/>
        <v/>
      </c>
      <c r="AC151" s="521" t="str">
        <f t="shared" si="14"/>
        <v/>
      </c>
      <c r="AD151" s="536" t="str">
        <f>IF(M151="","",VLOOKUP(M151,'G-6 Hedgerow Data'!$B$3:$AG$15,31,FALSE))</f>
        <v/>
      </c>
      <c r="AE151" s="506" t="str">
        <f t="shared" si="19"/>
        <v/>
      </c>
      <c r="AF151" s="506" t="str">
        <f t="shared" si="20"/>
        <v/>
      </c>
      <c r="AG151" s="523" t="str">
        <f>IFERROR(IF(O151="","",VLOOKUP(AD151,'G-3 Multipliers'!$P$3:$Q$6,2,FALSE)),"")</f>
        <v/>
      </c>
      <c r="AH151" s="512" t="str">
        <f t="shared" si="15"/>
        <v/>
      </c>
      <c r="AI151" s="230"/>
      <c r="AJ151" s="150"/>
      <c r="AT151" s="31" t="str">
        <f>IFERROR(INDEX('G-6 Hedgerow Data'!$BJ$3:$BJ$15,MATCH(M151,'G-6 Hedgerow Data'!$B$3:$B$15,0)),"")</f>
        <v/>
      </c>
    </row>
    <row r="152" spans="2:46" ht="14.25" x14ac:dyDescent="0.2">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c r="N152" s="497" t="str">
        <f>IFERROR(IF(B152="","",INDEX('G-6 Hedgerow Data'!$AN$3:$AZ$15,MATCH(C152,'G-6 Hedgerow Data'!$AM$3:$AM$15,0),MATCH(M152,'G-6 Hedgerow Data'!$AN$2:$AZ$2,0))),"")</f>
        <v/>
      </c>
      <c r="O152" s="498" t="str">
        <f t="shared" si="16"/>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7"/>
        <v/>
      </c>
      <c r="AB152" s="520" t="str">
        <f t="shared" si="18"/>
        <v/>
      </c>
      <c r="AC152" s="521" t="str">
        <f t="shared" si="14"/>
        <v/>
      </c>
      <c r="AD152" s="536" t="str">
        <f>IF(M152="","",VLOOKUP(M152,'G-6 Hedgerow Data'!$B$3:$AG$15,31,FALSE))</f>
        <v/>
      </c>
      <c r="AE152" s="506" t="str">
        <f t="shared" si="19"/>
        <v/>
      </c>
      <c r="AF152" s="506" t="str">
        <f t="shared" si="20"/>
        <v/>
      </c>
      <c r="AG152" s="523" t="str">
        <f>IFERROR(IF(O152="","",VLOOKUP(AD152,'G-3 Multipliers'!$P$3:$Q$6,2,FALSE)),"")</f>
        <v/>
      </c>
      <c r="AH152" s="512" t="str">
        <f t="shared" si="15"/>
        <v/>
      </c>
      <c r="AI152" s="230"/>
      <c r="AJ152" s="150"/>
      <c r="AT152" s="31" t="str">
        <f>IFERROR(INDEX('G-6 Hedgerow Data'!$BJ$3:$BJ$15,MATCH(M152,'G-6 Hedgerow Data'!$B$3:$B$15,0)),"")</f>
        <v/>
      </c>
    </row>
    <row r="153" spans="2:46" ht="14.25" x14ac:dyDescent="0.2">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c r="N153" s="497" t="str">
        <f>IFERROR(IF(B153="","",INDEX('G-6 Hedgerow Data'!$AN$3:$AZ$15,MATCH(C153,'G-6 Hedgerow Data'!$AM$3:$AM$15,0),MATCH(M153,'G-6 Hedgerow Data'!$AN$2:$AZ$2,0))),"")</f>
        <v/>
      </c>
      <c r="O153" s="498" t="str">
        <f t="shared" si="16"/>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7"/>
        <v/>
      </c>
      <c r="AB153" s="520" t="str">
        <f t="shared" si="18"/>
        <v/>
      </c>
      <c r="AC153" s="521" t="str">
        <f t="shared" si="14"/>
        <v/>
      </c>
      <c r="AD153" s="536" t="str">
        <f>IF(M153="","",VLOOKUP(M153,'G-6 Hedgerow Data'!$B$3:$AG$15,31,FALSE))</f>
        <v/>
      </c>
      <c r="AE153" s="506" t="str">
        <f t="shared" si="19"/>
        <v/>
      </c>
      <c r="AF153" s="506" t="str">
        <f t="shared" si="20"/>
        <v/>
      </c>
      <c r="AG153" s="523" t="str">
        <f>IFERROR(IF(O153="","",VLOOKUP(AD153,'G-3 Multipliers'!$P$3:$Q$6,2,FALSE)),"")</f>
        <v/>
      </c>
      <c r="AH153" s="512" t="str">
        <f t="shared" si="15"/>
        <v/>
      </c>
      <c r="AI153" s="230"/>
      <c r="AJ153" s="150"/>
      <c r="AT153" s="31" t="str">
        <f>IFERROR(INDEX('G-6 Hedgerow Data'!$BJ$3:$BJ$15,MATCH(M153,'G-6 Hedgerow Data'!$B$3:$B$15,0)),"")</f>
        <v/>
      </c>
    </row>
    <row r="154" spans="2:46" ht="14.25" x14ac:dyDescent="0.2">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c r="N154" s="497" t="str">
        <f>IFERROR(IF(B154="","",INDEX('G-6 Hedgerow Data'!$AN$3:$AZ$15,MATCH(C154,'G-6 Hedgerow Data'!$AM$3:$AM$15,0),MATCH(M154,'G-6 Hedgerow Data'!$AN$2:$AZ$2,0))),"")</f>
        <v/>
      </c>
      <c r="O154" s="498" t="str">
        <f t="shared" si="16"/>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7"/>
        <v/>
      </c>
      <c r="AB154" s="520" t="str">
        <f t="shared" si="18"/>
        <v/>
      </c>
      <c r="AC154" s="521" t="str">
        <f t="shared" si="14"/>
        <v/>
      </c>
      <c r="AD154" s="536" t="str">
        <f>IF(M154="","",VLOOKUP(M154,'G-6 Hedgerow Data'!$B$3:$AG$15,31,FALSE))</f>
        <v/>
      </c>
      <c r="AE154" s="506" t="str">
        <f t="shared" si="19"/>
        <v/>
      </c>
      <c r="AF154" s="506" t="str">
        <f t="shared" si="20"/>
        <v/>
      </c>
      <c r="AG154" s="523" t="str">
        <f>IFERROR(IF(O154="","",VLOOKUP(AD154,'G-3 Multipliers'!$P$3:$Q$6,2,FALSE)),"")</f>
        <v/>
      </c>
      <c r="AH154" s="512" t="str">
        <f t="shared" si="15"/>
        <v/>
      </c>
      <c r="AI154" s="230"/>
      <c r="AJ154" s="150"/>
      <c r="AT154" s="31" t="str">
        <f>IFERROR(INDEX('G-6 Hedgerow Data'!$BJ$3:$BJ$15,MATCH(M154,'G-6 Hedgerow Data'!$B$3:$B$15,0)),"")</f>
        <v/>
      </c>
    </row>
    <row r="155" spans="2:46" ht="14.25" x14ac:dyDescent="0.2">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c r="N155" s="497" t="str">
        <f>IFERROR(IF(B155="","",INDEX('G-6 Hedgerow Data'!$AN$3:$AZ$15,MATCH(C155,'G-6 Hedgerow Data'!$AM$3:$AM$15,0),MATCH(M155,'G-6 Hedgerow Data'!$AN$2:$AZ$2,0))),"")</f>
        <v/>
      </c>
      <c r="O155" s="498" t="str">
        <f t="shared" si="16"/>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7"/>
        <v/>
      </c>
      <c r="AB155" s="520" t="str">
        <f t="shared" si="18"/>
        <v/>
      </c>
      <c r="AC155" s="521" t="str">
        <f t="shared" si="14"/>
        <v/>
      </c>
      <c r="AD155" s="536" t="str">
        <f>IF(M155="","",VLOOKUP(M155,'G-6 Hedgerow Data'!$B$3:$AG$15,31,FALSE))</f>
        <v/>
      </c>
      <c r="AE155" s="506" t="str">
        <f t="shared" si="19"/>
        <v/>
      </c>
      <c r="AF155" s="506" t="str">
        <f t="shared" si="20"/>
        <v/>
      </c>
      <c r="AG155" s="523" t="str">
        <f>IFERROR(IF(O155="","",VLOOKUP(AD155,'G-3 Multipliers'!$P$3:$Q$6,2,FALSE)),"")</f>
        <v/>
      </c>
      <c r="AH155" s="512" t="str">
        <f t="shared" si="15"/>
        <v/>
      </c>
      <c r="AI155" s="230"/>
      <c r="AJ155" s="150"/>
      <c r="AT155" s="31" t="str">
        <f>IFERROR(INDEX('G-6 Hedgerow Data'!$BJ$3:$BJ$15,MATCH(M155,'G-6 Hedgerow Data'!$B$3:$B$15,0)),"")</f>
        <v/>
      </c>
    </row>
    <row r="156" spans="2:46" ht="14.25" x14ac:dyDescent="0.2">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c r="N156" s="497" t="str">
        <f>IFERROR(IF(B156="","",INDEX('G-6 Hedgerow Data'!$AN$3:$AZ$15,MATCH(C156,'G-6 Hedgerow Data'!$AM$3:$AM$15,0),MATCH(M156,'G-6 Hedgerow Data'!$AN$2:$AZ$2,0))),"")</f>
        <v/>
      </c>
      <c r="O156" s="498" t="str">
        <f t="shared" si="16"/>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7"/>
        <v/>
      </c>
      <c r="AB156" s="520" t="str">
        <f t="shared" si="18"/>
        <v/>
      </c>
      <c r="AC156" s="521" t="str">
        <f t="shared" si="14"/>
        <v/>
      </c>
      <c r="AD156" s="536" t="str">
        <f>IF(M156="","",VLOOKUP(M156,'G-6 Hedgerow Data'!$B$3:$AG$15,31,FALSE))</f>
        <v/>
      </c>
      <c r="AE156" s="506" t="str">
        <f t="shared" si="19"/>
        <v/>
      </c>
      <c r="AF156" s="506" t="str">
        <f t="shared" si="20"/>
        <v/>
      </c>
      <c r="AG156" s="523" t="str">
        <f>IFERROR(IF(O156="","",VLOOKUP(AD156,'G-3 Multipliers'!$P$3:$Q$6,2,FALSE)),"")</f>
        <v/>
      </c>
      <c r="AH156" s="512" t="str">
        <f t="shared" si="15"/>
        <v/>
      </c>
      <c r="AI156" s="230"/>
      <c r="AJ156" s="150"/>
      <c r="AT156" s="31" t="str">
        <f>IFERROR(INDEX('G-6 Hedgerow Data'!$BJ$3:$BJ$15,MATCH(M156,'G-6 Hedgerow Data'!$B$3:$B$15,0)),"")</f>
        <v/>
      </c>
    </row>
    <row r="157" spans="2:46" ht="14.25" x14ac:dyDescent="0.2">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c r="N157" s="497" t="str">
        <f>IFERROR(IF(B157="","",INDEX('G-6 Hedgerow Data'!$AN$3:$AZ$15,MATCH(C157,'G-6 Hedgerow Data'!$AM$3:$AM$15,0),MATCH(M157,'G-6 Hedgerow Data'!$AN$2:$AZ$2,0))),"")</f>
        <v/>
      </c>
      <c r="O157" s="498" t="str">
        <f t="shared" si="16"/>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7"/>
        <v/>
      </c>
      <c r="AB157" s="520" t="str">
        <f t="shared" si="18"/>
        <v/>
      </c>
      <c r="AC157" s="521" t="str">
        <f t="shared" si="14"/>
        <v/>
      </c>
      <c r="AD157" s="536" t="str">
        <f>IF(M157="","",VLOOKUP(M157,'G-6 Hedgerow Data'!$B$3:$AG$15,31,FALSE))</f>
        <v/>
      </c>
      <c r="AE157" s="506" t="str">
        <f t="shared" si="19"/>
        <v/>
      </c>
      <c r="AF157" s="506" t="str">
        <f t="shared" si="20"/>
        <v/>
      </c>
      <c r="AG157" s="523" t="str">
        <f>IFERROR(IF(O157="","",VLOOKUP(AD157,'G-3 Multipliers'!$P$3:$Q$6,2,FALSE)),"")</f>
        <v/>
      </c>
      <c r="AH157" s="512" t="str">
        <f t="shared" si="15"/>
        <v/>
      </c>
      <c r="AI157" s="230"/>
      <c r="AJ157" s="150"/>
      <c r="AT157" s="31" t="str">
        <f>IFERROR(INDEX('G-6 Hedgerow Data'!$BJ$3:$BJ$15,MATCH(M157,'G-6 Hedgerow Data'!$B$3:$B$15,0)),"")</f>
        <v/>
      </c>
    </row>
    <row r="158" spans="2:46" ht="14.25" x14ac:dyDescent="0.2">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c r="N158" s="497" t="str">
        <f>IFERROR(IF(B158="","",INDEX('G-6 Hedgerow Data'!$AN$3:$AZ$15,MATCH(C158,'G-6 Hedgerow Data'!$AM$3:$AM$15,0),MATCH(M158,'G-6 Hedgerow Data'!$AN$2:$AZ$2,0))),"")</f>
        <v/>
      </c>
      <c r="O158" s="498" t="str">
        <f t="shared" si="16"/>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7"/>
        <v/>
      </c>
      <c r="AB158" s="520" t="str">
        <f t="shared" si="18"/>
        <v/>
      </c>
      <c r="AC158" s="521" t="str">
        <f t="shared" si="14"/>
        <v/>
      </c>
      <c r="AD158" s="536" t="str">
        <f>IF(M158="","",VLOOKUP(M158,'G-6 Hedgerow Data'!$B$3:$AG$15,31,FALSE))</f>
        <v/>
      </c>
      <c r="AE158" s="506" t="str">
        <f t="shared" si="19"/>
        <v/>
      </c>
      <c r="AF158" s="506" t="str">
        <f t="shared" si="20"/>
        <v/>
      </c>
      <c r="AG158" s="523" t="str">
        <f>IFERROR(IF(O158="","",VLOOKUP(AD158,'G-3 Multipliers'!$P$3:$Q$6,2,FALSE)),"")</f>
        <v/>
      </c>
      <c r="AH158" s="512" t="str">
        <f t="shared" si="15"/>
        <v/>
      </c>
      <c r="AI158" s="230"/>
      <c r="AJ158" s="150"/>
      <c r="AT158" s="31" t="str">
        <f>IFERROR(INDEX('G-6 Hedgerow Data'!$BJ$3:$BJ$15,MATCH(M158,'G-6 Hedgerow Data'!$B$3:$B$15,0)),"")</f>
        <v/>
      </c>
    </row>
    <row r="159" spans="2:46" ht="14.25" x14ac:dyDescent="0.2">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c r="N159" s="497" t="str">
        <f>IFERROR(IF(B159="","",INDEX('G-6 Hedgerow Data'!$AN$3:$AZ$15,MATCH(C159,'G-6 Hedgerow Data'!$AM$3:$AM$15,0),MATCH(M159,'G-6 Hedgerow Data'!$AN$2:$AZ$2,0))),"")</f>
        <v/>
      </c>
      <c r="O159" s="498" t="str">
        <f t="shared" si="16"/>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7"/>
        <v/>
      </c>
      <c r="AB159" s="520" t="str">
        <f t="shared" si="18"/>
        <v/>
      </c>
      <c r="AC159" s="521" t="str">
        <f t="shared" si="14"/>
        <v/>
      </c>
      <c r="AD159" s="536" t="str">
        <f>IF(M159="","",VLOOKUP(M159,'G-6 Hedgerow Data'!$B$3:$AG$15,31,FALSE))</f>
        <v/>
      </c>
      <c r="AE159" s="506" t="str">
        <f t="shared" si="19"/>
        <v/>
      </c>
      <c r="AF159" s="506" t="str">
        <f t="shared" si="20"/>
        <v/>
      </c>
      <c r="AG159" s="523" t="str">
        <f>IFERROR(IF(O159="","",VLOOKUP(AD159,'G-3 Multipliers'!$P$3:$Q$6,2,FALSE)),"")</f>
        <v/>
      </c>
      <c r="AH159" s="512" t="str">
        <f t="shared" si="15"/>
        <v/>
      </c>
      <c r="AI159" s="230"/>
      <c r="AJ159" s="150"/>
      <c r="AT159" s="31" t="str">
        <f>IFERROR(INDEX('G-6 Hedgerow Data'!$BJ$3:$BJ$15,MATCH(M159,'G-6 Hedgerow Data'!$B$3:$B$15,0)),"")</f>
        <v/>
      </c>
    </row>
    <row r="160" spans="2:46" ht="14.25" x14ac:dyDescent="0.2">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c r="N160" s="497" t="str">
        <f>IFERROR(IF(B160="","",INDEX('G-6 Hedgerow Data'!$AN$3:$AZ$15,MATCH(C160,'G-6 Hedgerow Data'!$AM$3:$AM$15,0),MATCH(M160,'G-6 Hedgerow Data'!$AN$2:$AZ$2,0))),"")</f>
        <v/>
      </c>
      <c r="O160" s="498" t="str">
        <f t="shared" si="16"/>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7"/>
        <v/>
      </c>
      <c r="AB160" s="520" t="str">
        <f t="shared" si="18"/>
        <v/>
      </c>
      <c r="AC160" s="521" t="str">
        <f t="shared" si="14"/>
        <v/>
      </c>
      <c r="AD160" s="536" t="str">
        <f>IF(M160="","",VLOOKUP(M160,'G-6 Hedgerow Data'!$B$3:$AG$15,31,FALSE))</f>
        <v/>
      </c>
      <c r="AE160" s="506" t="str">
        <f t="shared" si="19"/>
        <v/>
      </c>
      <c r="AF160" s="506" t="str">
        <f t="shared" si="20"/>
        <v/>
      </c>
      <c r="AG160" s="523" t="str">
        <f>IFERROR(IF(O160="","",VLOOKUP(AD160,'G-3 Multipliers'!$P$3:$Q$6,2,FALSE)),"")</f>
        <v/>
      </c>
      <c r="AH160" s="512" t="str">
        <f t="shared" si="15"/>
        <v/>
      </c>
      <c r="AI160" s="230"/>
      <c r="AJ160" s="150"/>
      <c r="AT160" s="31" t="str">
        <f>IFERROR(INDEX('G-6 Hedgerow Data'!$BJ$3:$BJ$15,MATCH(M160,'G-6 Hedgerow Data'!$B$3:$B$15,0)),"")</f>
        <v/>
      </c>
    </row>
    <row r="161" spans="2:46" ht="14.25" x14ac:dyDescent="0.2">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c r="N161" s="497" t="str">
        <f>IFERROR(IF(B161="","",INDEX('G-6 Hedgerow Data'!$AN$3:$AZ$15,MATCH(C161,'G-6 Hedgerow Data'!$AM$3:$AM$15,0),MATCH(M161,'G-6 Hedgerow Data'!$AN$2:$AZ$2,0))),"")</f>
        <v/>
      </c>
      <c r="O161" s="498" t="str">
        <f t="shared" si="16"/>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7"/>
        <v/>
      </c>
      <c r="AB161" s="520" t="str">
        <f t="shared" si="18"/>
        <v/>
      </c>
      <c r="AC161" s="521" t="str">
        <f t="shared" si="14"/>
        <v/>
      </c>
      <c r="AD161" s="536" t="str">
        <f>IF(M161="","",VLOOKUP(M161,'G-6 Hedgerow Data'!$B$3:$AG$15,31,FALSE))</f>
        <v/>
      </c>
      <c r="AE161" s="506" t="str">
        <f t="shared" si="19"/>
        <v/>
      </c>
      <c r="AF161" s="506" t="str">
        <f t="shared" si="20"/>
        <v/>
      </c>
      <c r="AG161" s="523" t="str">
        <f>IFERROR(IF(O161="","",VLOOKUP(AD161,'G-3 Multipliers'!$P$3:$Q$6,2,FALSE)),"")</f>
        <v/>
      </c>
      <c r="AH161" s="512" t="str">
        <f t="shared" si="15"/>
        <v/>
      </c>
      <c r="AI161" s="230"/>
      <c r="AJ161" s="150"/>
      <c r="AT161" s="31" t="str">
        <f>IFERROR(INDEX('G-6 Hedgerow Data'!$BJ$3:$BJ$15,MATCH(M161,'G-6 Hedgerow Data'!$B$3:$B$15,0)),"")</f>
        <v/>
      </c>
    </row>
    <row r="162" spans="2:46" ht="14.25" x14ac:dyDescent="0.2">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c r="N162" s="497" t="str">
        <f>IFERROR(IF(B162="","",INDEX('G-6 Hedgerow Data'!$AN$3:$AZ$15,MATCH(C162,'G-6 Hedgerow Data'!$AM$3:$AM$15,0),MATCH(M162,'G-6 Hedgerow Data'!$AN$2:$AZ$2,0))),"")</f>
        <v/>
      </c>
      <c r="O162" s="498" t="str">
        <f t="shared" si="16"/>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7"/>
        <v/>
      </c>
      <c r="AB162" s="520" t="str">
        <f t="shared" si="18"/>
        <v/>
      </c>
      <c r="AC162" s="521" t="str">
        <f t="shared" si="14"/>
        <v/>
      </c>
      <c r="AD162" s="536" t="str">
        <f>IF(M162="","",VLOOKUP(M162,'G-6 Hedgerow Data'!$B$3:$AG$15,31,FALSE))</f>
        <v/>
      </c>
      <c r="AE162" s="506" t="str">
        <f t="shared" si="19"/>
        <v/>
      </c>
      <c r="AF162" s="506" t="str">
        <f t="shared" si="20"/>
        <v/>
      </c>
      <c r="AG162" s="523" t="str">
        <f>IFERROR(IF(O162="","",VLOOKUP(AD162,'G-3 Multipliers'!$P$3:$Q$6,2,FALSE)),"")</f>
        <v/>
      </c>
      <c r="AH162" s="512" t="str">
        <f t="shared" si="15"/>
        <v/>
      </c>
      <c r="AI162" s="230"/>
      <c r="AJ162" s="150"/>
      <c r="AT162" s="31" t="str">
        <f>IFERROR(INDEX('G-6 Hedgerow Data'!$BJ$3:$BJ$15,MATCH(M162,'G-6 Hedgerow Data'!$B$3:$B$15,0)),"")</f>
        <v/>
      </c>
    </row>
    <row r="163" spans="2:46" ht="14.25" x14ac:dyDescent="0.2">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c r="N163" s="497" t="str">
        <f>IFERROR(IF(B163="","",INDEX('G-6 Hedgerow Data'!$AN$3:$AZ$15,MATCH(C163,'G-6 Hedgerow Data'!$AM$3:$AM$15,0),MATCH(M163,'G-6 Hedgerow Data'!$AN$2:$AZ$2,0))),"")</f>
        <v/>
      </c>
      <c r="O163" s="498" t="str">
        <f t="shared" si="16"/>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7"/>
        <v/>
      </c>
      <c r="AB163" s="520" t="str">
        <f t="shared" si="18"/>
        <v/>
      </c>
      <c r="AC163" s="521" t="str">
        <f t="shared" si="14"/>
        <v/>
      </c>
      <c r="AD163" s="536" t="str">
        <f>IF(M163="","",VLOOKUP(M163,'G-6 Hedgerow Data'!$B$3:$AG$15,31,FALSE))</f>
        <v/>
      </c>
      <c r="AE163" s="506" t="str">
        <f t="shared" si="19"/>
        <v/>
      </c>
      <c r="AF163" s="506" t="str">
        <f t="shared" si="20"/>
        <v/>
      </c>
      <c r="AG163" s="523" t="str">
        <f>IFERROR(IF(O163="","",VLOOKUP(AD163,'G-3 Multipliers'!$P$3:$Q$6,2,FALSE)),"")</f>
        <v/>
      </c>
      <c r="AH163" s="512" t="str">
        <f t="shared" si="15"/>
        <v/>
      </c>
      <c r="AI163" s="230"/>
      <c r="AJ163" s="150"/>
      <c r="AT163" s="31" t="str">
        <f>IFERROR(INDEX('G-6 Hedgerow Data'!$BJ$3:$BJ$15,MATCH(M163,'G-6 Hedgerow Data'!$B$3:$B$15,0)),"")</f>
        <v/>
      </c>
    </row>
    <row r="164" spans="2:46" ht="14.25" x14ac:dyDescent="0.2">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c r="N164" s="497" t="str">
        <f>IFERROR(IF(B164="","",INDEX('G-6 Hedgerow Data'!$AN$3:$AZ$15,MATCH(C164,'G-6 Hedgerow Data'!$AM$3:$AM$15,0),MATCH(M164,'G-6 Hedgerow Data'!$AN$2:$AZ$2,0))),"")</f>
        <v/>
      </c>
      <c r="O164" s="498" t="str">
        <f t="shared" si="16"/>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7"/>
        <v/>
      </c>
      <c r="AB164" s="520" t="str">
        <f t="shared" si="18"/>
        <v/>
      </c>
      <c r="AC164" s="521" t="str">
        <f t="shared" si="14"/>
        <v/>
      </c>
      <c r="AD164" s="536" t="str">
        <f>IF(M164="","",VLOOKUP(M164,'G-6 Hedgerow Data'!$B$3:$AG$15,31,FALSE))</f>
        <v/>
      </c>
      <c r="AE164" s="506" t="str">
        <f t="shared" si="19"/>
        <v/>
      </c>
      <c r="AF164" s="506" t="str">
        <f t="shared" si="20"/>
        <v/>
      </c>
      <c r="AG164" s="523" t="str">
        <f>IFERROR(IF(O164="","",VLOOKUP(AD164,'G-3 Multipliers'!$P$3:$Q$6,2,FALSE)),"")</f>
        <v/>
      </c>
      <c r="AH164" s="512" t="str">
        <f t="shared" si="15"/>
        <v/>
      </c>
      <c r="AI164" s="230"/>
      <c r="AJ164" s="150"/>
      <c r="AT164" s="31" t="str">
        <f>IFERROR(INDEX('G-6 Hedgerow Data'!$BJ$3:$BJ$15,MATCH(M164,'G-6 Hedgerow Data'!$B$3:$B$15,0)),"")</f>
        <v/>
      </c>
    </row>
    <row r="165" spans="2:46" ht="14.25" x14ac:dyDescent="0.2">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c r="N165" s="497" t="str">
        <f>IFERROR(IF(B165="","",INDEX('G-6 Hedgerow Data'!$AN$3:$AZ$15,MATCH(C165,'G-6 Hedgerow Data'!$AM$3:$AM$15,0),MATCH(M165,'G-6 Hedgerow Data'!$AN$2:$AZ$2,0))),"")</f>
        <v/>
      </c>
      <c r="O165" s="498" t="str">
        <f t="shared" si="16"/>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7"/>
        <v/>
      </c>
      <c r="AB165" s="520" t="str">
        <f t="shared" si="18"/>
        <v/>
      </c>
      <c r="AC165" s="521" t="str">
        <f t="shared" si="14"/>
        <v/>
      </c>
      <c r="AD165" s="536" t="str">
        <f>IF(M165="","",VLOOKUP(M165,'G-6 Hedgerow Data'!$B$3:$AG$15,31,FALSE))</f>
        <v/>
      </c>
      <c r="AE165" s="506" t="str">
        <f t="shared" si="19"/>
        <v/>
      </c>
      <c r="AF165" s="506" t="str">
        <f t="shared" si="20"/>
        <v/>
      </c>
      <c r="AG165" s="523" t="str">
        <f>IFERROR(IF(O165="","",VLOOKUP(AD165,'G-3 Multipliers'!$P$3:$Q$6,2,FALSE)),"")</f>
        <v/>
      </c>
      <c r="AH165" s="512" t="str">
        <f t="shared" si="15"/>
        <v/>
      </c>
      <c r="AI165" s="230"/>
      <c r="AJ165" s="150"/>
      <c r="AT165" s="31" t="str">
        <f>IFERROR(INDEX('G-6 Hedgerow Data'!$BJ$3:$BJ$15,MATCH(M165,'G-6 Hedgerow Data'!$B$3:$B$15,0)),"")</f>
        <v/>
      </c>
    </row>
    <row r="166" spans="2:46" ht="14.25" x14ac:dyDescent="0.2">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c r="N166" s="497" t="str">
        <f>IFERROR(IF(B166="","",INDEX('G-6 Hedgerow Data'!$AN$3:$AZ$15,MATCH(C166,'G-6 Hedgerow Data'!$AM$3:$AM$15,0),MATCH(M166,'G-6 Hedgerow Data'!$AN$2:$AZ$2,0))),"")</f>
        <v/>
      </c>
      <c r="O166" s="498" t="str">
        <f t="shared" si="16"/>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7"/>
        <v/>
      </c>
      <c r="AB166" s="520" t="str">
        <f t="shared" si="18"/>
        <v/>
      </c>
      <c r="AC166" s="521" t="str">
        <f t="shared" si="14"/>
        <v/>
      </c>
      <c r="AD166" s="536" t="str">
        <f>IF(M166="","",VLOOKUP(M166,'G-6 Hedgerow Data'!$B$3:$AG$15,31,FALSE))</f>
        <v/>
      </c>
      <c r="AE166" s="506" t="str">
        <f t="shared" si="19"/>
        <v/>
      </c>
      <c r="AF166" s="506" t="str">
        <f t="shared" si="20"/>
        <v/>
      </c>
      <c r="AG166" s="523" t="str">
        <f>IFERROR(IF(O166="","",VLOOKUP(AD166,'G-3 Multipliers'!$P$3:$Q$6,2,FALSE)),"")</f>
        <v/>
      </c>
      <c r="AH166" s="512" t="str">
        <f t="shared" si="15"/>
        <v/>
      </c>
      <c r="AI166" s="230"/>
      <c r="AJ166" s="150"/>
      <c r="AT166" s="31" t="str">
        <f>IFERROR(INDEX('G-6 Hedgerow Data'!$BJ$3:$BJ$15,MATCH(M166,'G-6 Hedgerow Data'!$B$3:$B$15,0)),"")</f>
        <v/>
      </c>
    </row>
    <row r="167" spans="2:46" ht="14.25" x14ac:dyDescent="0.2">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c r="N167" s="497" t="str">
        <f>IFERROR(IF(B167="","",INDEX('G-6 Hedgerow Data'!$AN$3:$AZ$15,MATCH(C167,'G-6 Hedgerow Data'!$AM$3:$AM$15,0),MATCH(M167,'G-6 Hedgerow Data'!$AN$2:$AZ$2,0))),"")</f>
        <v/>
      </c>
      <c r="O167" s="498" t="str">
        <f t="shared" si="16"/>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7"/>
        <v/>
      </c>
      <c r="AB167" s="520" t="str">
        <f t="shared" si="18"/>
        <v/>
      </c>
      <c r="AC167" s="521" t="str">
        <f t="shared" si="14"/>
        <v/>
      </c>
      <c r="AD167" s="536" t="str">
        <f>IF(M167="","",VLOOKUP(M167,'G-6 Hedgerow Data'!$B$3:$AG$15,31,FALSE))</f>
        <v/>
      </c>
      <c r="AE167" s="506" t="str">
        <f t="shared" si="19"/>
        <v/>
      </c>
      <c r="AF167" s="506" t="str">
        <f t="shared" si="20"/>
        <v/>
      </c>
      <c r="AG167" s="523" t="str">
        <f>IFERROR(IF(O167="","",VLOOKUP(AD167,'G-3 Multipliers'!$P$3:$Q$6,2,FALSE)),"")</f>
        <v/>
      </c>
      <c r="AH167" s="512" t="str">
        <f t="shared" si="15"/>
        <v/>
      </c>
      <c r="AI167" s="230"/>
      <c r="AJ167" s="150"/>
      <c r="AT167" s="31" t="str">
        <f>IFERROR(INDEX('G-6 Hedgerow Data'!$BJ$3:$BJ$15,MATCH(M167,'G-6 Hedgerow Data'!$B$3:$B$15,0)),"")</f>
        <v/>
      </c>
    </row>
    <row r="168" spans="2:46" ht="14.25" x14ac:dyDescent="0.2">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c r="N168" s="497" t="str">
        <f>IFERROR(IF(B168="","",INDEX('G-6 Hedgerow Data'!$AN$3:$AZ$15,MATCH(C168,'G-6 Hedgerow Data'!$AM$3:$AM$15,0),MATCH(M168,'G-6 Hedgerow Data'!$AN$2:$AZ$2,0))),"")</f>
        <v/>
      </c>
      <c r="O168" s="498" t="str">
        <f t="shared" si="16"/>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7"/>
        <v/>
      </c>
      <c r="AB168" s="520" t="str">
        <f t="shared" si="18"/>
        <v/>
      </c>
      <c r="AC168" s="521" t="str">
        <f t="shared" si="14"/>
        <v/>
      </c>
      <c r="AD168" s="536" t="str">
        <f>IF(M168="","",VLOOKUP(M168,'G-6 Hedgerow Data'!$B$3:$AG$15,31,FALSE))</f>
        <v/>
      </c>
      <c r="AE168" s="506" t="str">
        <f t="shared" si="19"/>
        <v/>
      </c>
      <c r="AF168" s="506" t="str">
        <f t="shared" si="20"/>
        <v/>
      </c>
      <c r="AG168" s="523" t="str">
        <f>IFERROR(IF(O168="","",VLOOKUP(AD168,'G-3 Multipliers'!$P$3:$Q$6,2,FALSE)),"")</f>
        <v/>
      </c>
      <c r="AH168" s="512" t="str">
        <f t="shared" si="15"/>
        <v/>
      </c>
      <c r="AI168" s="230"/>
      <c r="AJ168" s="150"/>
      <c r="AT168" s="31" t="str">
        <f>IFERROR(INDEX('G-6 Hedgerow Data'!$BJ$3:$BJ$15,MATCH(M168,'G-6 Hedgerow Data'!$B$3:$B$15,0)),"")</f>
        <v/>
      </c>
    </row>
    <row r="169" spans="2:46" ht="14.25" x14ac:dyDescent="0.2">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c r="N169" s="497" t="str">
        <f>IFERROR(IF(B169="","",INDEX('G-6 Hedgerow Data'!$AN$3:$AZ$15,MATCH(C169,'G-6 Hedgerow Data'!$AM$3:$AM$15,0),MATCH(M169,'G-6 Hedgerow Data'!$AN$2:$AZ$2,0))),"")</f>
        <v/>
      </c>
      <c r="O169" s="498" t="str">
        <f t="shared" si="16"/>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7"/>
        <v/>
      </c>
      <c r="AB169" s="520" t="str">
        <f t="shared" si="18"/>
        <v/>
      </c>
      <c r="AC169" s="521" t="str">
        <f t="shared" si="14"/>
        <v/>
      </c>
      <c r="AD169" s="536" t="str">
        <f>IF(M169="","",VLOOKUP(M169,'G-6 Hedgerow Data'!$B$3:$AG$15,31,FALSE))</f>
        <v/>
      </c>
      <c r="AE169" s="506" t="str">
        <f t="shared" si="19"/>
        <v/>
      </c>
      <c r="AF169" s="506" t="str">
        <f t="shared" si="20"/>
        <v/>
      </c>
      <c r="AG169" s="523" t="str">
        <f>IFERROR(IF(O169="","",VLOOKUP(AD169,'G-3 Multipliers'!$P$3:$Q$6,2,FALSE)),"")</f>
        <v/>
      </c>
      <c r="AH169" s="512" t="str">
        <f t="shared" si="15"/>
        <v/>
      </c>
      <c r="AI169" s="230"/>
      <c r="AJ169" s="150"/>
      <c r="AT169" s="31" t="str">
        <f>IFERROR(INDEX('G-6 Hedgerow Data'!$BJ$3:$BJ$15,MATCH(M169,'G-6 Hedgerow Data'!$B$3:$B$15,0)),"")</f>
        <v/>
      </c>
    </row>
    <row r="170" spans="2:46" ht="14.25" x14ac:dyDescent="0.2">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c r="N170" s="497" t="str">
        <f>IFERROR(IF(B170="","",INDEX('G-6 Hedgerow Data'!$AN$3:$AZ$15,MATCH(C170,'G-6 Hedgerow Data'!$AM$3:$AM$15,0),MATCH(M170,'G-6 Hedgerow Data'!$AN$2:$AZ$2,0))),"")</f>
        <v/>
      </c>
      <c r="O170" s="498" t="str">
        <f t="shared" si="16"/>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7"/>
        <v/>
      </c>
      <c r="AB170" s="520" t="str">
        <f t="shared" si="18"/>
        <v/>
      </c>
      <c r="AC170" s="521" t="str">
        <f t="shared" si="14"/>
        <v/>
      </c>
      <c r="AD170" s="536" t="str">
        <f>IF(M170="","",VLOOKUP(M170,'G-6 Hedgerow Data'!$B$3:$AG$15,31,FALSE))</f>
        <v/>
      </c>
      <c r="AE170" s="506" t="str">
        <f t="shared" si="19"/>
        <v/>
      </c>
      <c r="AF170" s="506" t="str">
        <f t="shared" si="20"/>
        <v/>
      </c>
      <c r="AG170" s="523" t="str">
        <f>IFERROR(IF(O170="","",VLOOKUP(AD170,'G-3 Multipliers'!$P$3:$Q$6,2,FALSE)),"")</f>
        <v/>
      </c>
      <c r="AH170" s="512" t="str">
        <f t="shared" si="15"/>
        <v/>
      </c>
      <c r="AI170" s="230"/>
      <c r="AJ170" s="150"/>
      <c r="AT170" s="31" t="str">
        <f>IFERROR(INDEX('G-6 Hedgerow Data'!$BJ$3:$BJ$15,MATCH(M170,'G-6 Hedgerow Data'!$B$3:$B$15,0)),"")</f>
        <v/>
      </c>
    </row>
    <row r="171" spans="2:46" ht="14.25" x14ac:dyDescent="0.2">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c r="N171" s="497" t="str">
        <f>IFERROR(IF(B171="","",INDEX('G-6 Hedgerow Data'!$AN$3:$AZ$15,MATCH(C171,'G-6 Hedgerow Data'!$AM$3:$AM$15,0),MATCH(M171,'G-6 Hedgerow Data'!$AN$2:$AZ$2,0))),"")</f>
        <v/>
      </c>
      <c r="O171" s="498" t="str">
        <f t="shared" si="16"/>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7"/>
        <v/>
      </c>
      <c r="AB171" s="520" t="str">
        <f t="shared" si="18"/>
        <v/>
      </c>
      <c r="AC171" s="521" t="str">
        <f t="shared" si="14"/>
        <v/>
      </c>
      <c r="AD171" s="536" t="str">
        <f>IF(M171="","",VLOOKUP(M171,'G-6 Hedgerow Data'!$B$3:$AG$15,31,FALSE))</f>
        <v/>
      </c>
      <c r="AE171" s="506" t="str">
        <f t="shared" si="19"/>
        <v/>
      </c>
      <c r="AF171" s="506" t="str">
        <f t="shared" si="20"/>
        <v/>
      </c>
      <c r="AG171" s="523" t="str">
        <f>IFERROR(IF(O171="","",VLOOKUP(AD171,'G-3 Multipliers'!$P$3:$Q$6,2,FALSE)),"")</f>
        <v/>
      </c>
      <c r="AH171" s="512" t="str">
        <f t="shared" si="15"/>
        <v/>
      </c>
      <c r="AI171" s="230"/>
      <c r="AJ171" s="150"/>
      <c r="AT171" s="31" t="str">
        <f>IFERROR(INDEX('G-6 Hedgerow Data'!$BJ$3:$BJ$15,MATCH(M171,'G-6 Hedgerow Data'!$B$3:$B$15,0)),"")</f>
        <v/>
      </c>
    </row>
    <row r="172" spans="2:46" ht="14.25" x14ac:dyDescent="0.2">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c r="N172" s="497" t="str">
        <f>IFERROR(IF(B172="","",INDEX('G-6 Hedgerow Data'!$AN$3:$AZ$15,MATCH(C172,'G-6 Hedgerow Data'!$AM$3:$AM$15,0),MATCH(M172,'G-6 Hedgerow Data'!$AN$2:$AZ$2,0))),"")</f>
        <v/>
      </c>
      <c r="O172" s="498" t="str">
        <f t="shared" si="16"/>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7"/>
        <v/>
      </c>
      <c r="AB172" s="520" t="str">
        <f t="shared" si="18"/>
        <v/>
      </c>
      <c r="AC172" s="521" t="str">
        <f t="shared" si="14"/>
        <v/>
      </c>
      <c r="AD172" s="536" t="str">
        <f>IF(M172="","",VLOOKUP(M172,'G-6 Hedgerow Data'!$B$3:$AG$15,31,FALSE))</f>
        <v/>
      </c>
      <c r="AE172" s="506" t="str">
        <f t="shared" si="19"/>
        <v/>
      </c>
      <c r="AF172" s="506" t="str">
        <f t="shared" si="20"/>
        <v/>
      </c>
      <c r="AG172" s="523" t="str">
        <f>IFERROR(IF(O172="","",VLOOKUP(AD172,'G-3 Multipliers'!$P$3:$Q$6,2,FALSE)),"")</f>
        <v/>
      </c>
      <c r="AH172" s="512" t="str">
        <f t="shared" si="15"/>
        <v/>
      </c>
      <c r="AI172" s="230"/>
      <c r="AJ172" s="150"/>
      <c r="AT172" s="31" t="str">
        <f>IFERROR(INDEX('G-6 Hedgerow Data'!$BJ$3:$BJ$15,MATCH(M172,'G-6 Hedgerow Data'!$B$3:$B$15,0)),"")</f>
        <v/>
      </c>
    </row>
    <row r="173" spans="2:46" ht="14.25" x14ac:dyDescent="0.2">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c r="N173" s="497" t="str">
        <f>IFERROR(IF(B173="","",INDEX('G-6 Hedgerow Data'!$AN$3:$AZ$15,MATCH(C173,'G-6 Hedgerow Data'!$AM$3:$AM$15,0),MATCH(M173,'G-6 Hedgerow Data'!$AN$2:$AZ$2,0))),"")</f>
        <v/>
      </c>
      <c r="O173" s="498" t="str">
        <f t="shared" si="16"/>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7"/>
        <v/>
      </c>
      <c r="AB173" s="520" t="str">
        <f t="shared" si="18"/>
        <v/>
      </c>
      <c r="AC173" s="521" t="str">
        <f t="shared" si="14"/>
        <v/>
      </c>
      <c r="AD173" s="536" t="str">
        <f>IF(M173="","",VLOOKUP(M173,'G-6 Hedgerow Data'!$B$3:$AG$15,31,FALSE))</f>
        <v/>
      </c>
      <c r="AE173" s="506" t="str">
        <f t="shared" si="19"/>
        <v/>
      </c>
      <c r="AF173" s="506" t="str">
        <f t="shared" si="20"/>
        <v/>
      </c>
      <c r="AG173" s="523" t="str">
        <f>IFERROR(IF(O173="","",VLOOKUP(AD173,'G-3 Multipliers'!$P$3:$Q$6,2,FALSE)),"")</f>
        <v/>
      </c>
      <c r="AH173" s="512" t="str">
        <f t="shared" si="15"/>
        <v/>
      </c>
      <c r="AI173" s="230"/>
      <c r="AJ173" s="150"/>
      <c r="AT173" s="31" t="str">
        <f>IFERROR(INDEX('G-6 Hedgerow Data'!$BJ$3:$BJ$15,MATCH(M173,'G-6 Hedgerow Data'!$B$3:$B$15,0)),"")</f>
        <v/>
      </c>
    </row>
    <row r="174" spans="2:46" ht="14.25" x14ac:dyDescent="0.2">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c r="N174" s="497" t="str">
        <f>IFERROR(IF(B174="","",INDEX('G-6 Hedgerow Data'!$AN$3:$AZ$15,MATCH(C174,'G-6 Hedgerow Data'!$AM$3:$AM$15,0),MATCH(M174,'G-6 Hedgerow Data'!$AN$2:$AZ$2,0))),"")</f>
        <v/>
      </c>
      <c r="O174" s="498" t="str">
        <f t="shared" si="16"/>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7"/>
        <v/>
      </c>
      <c r="AB174" s="520" t="str">
        <f t="shared" si="18"/>
        <v/>
      </c>
      <c r="AC174" s="521" t="str">
        <f t="shared" si="14"/>
        <v/>
      </c>
      <c r="AD174" s="536" t="str">
        <f>IF(M174="","",VLOOKUP(M174,'G-6 Hedgerow Data'!$B$3:$AG$15,31,FALSE))</f>
        <v/>
      </c>
      <c r="AE174" s="506" t="str">
        <f t="shared" si="19"/>
        <v/>
      </c>
      <c r="AF174" s="506" t="str">
        <f t="shared" si="20"/>
        <v/>
      </c>
      <c r="AG174" s="523" t="str">
        <f>IFERROR(IF(O174="","",VLOOKUP(AD174,'G-3 Multipliers'!$P$3:$Q$6,2,FALSE)),"")</f>
        <v/>
      </c>
      <c r="AH174" s="512" t="str">
        <f t="shared" si="15"/>
        <v/>
      </c>
      <c r="AI174" s="230"/>
      <c r="AJ174" s="150"/>
      <c r="AT174" s="31" t="str">
        <f>IFERROR(INDEX('G-6 Hedgerow Data'!$BJ$3:$BJ$15,MATCH(M174,'G-6 Hedgerow Data'!$B$3:$B$15,0)),"")</f>
        <v/>
      </c>
    </row>
    <row r="175" spans="2:46" ht="14.25" x14ac:dyDescent="0.2">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c r="N175" s="497" t="str">
        <f>IFERROR(IF(B175="","",INDEX('G-6 Hedgerow Data'!$AN$3:$AZ$15,MATCH(C175,'G-6 Hedgerow Data'!$AM$3:$AM$15,0),MATCH(M175,'G-6 Hedgerow Data'!$AN$2:$AZ$2,0))),"")</f>
        <v/>
      </c>
      <c r="O175" s="498" t="str">
        <f t="shared" si="16"/>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7"/>
        <v/>
      </c>
      <c r="AB175" s="520" t="str">
        <f t="shared" si="18"/>
        <v/>
      </c>
      <c r="AC175" s="521" t="str">
        <f t="shared" si="14"/>
        <v/>
      </c>
      <c r="AD175" s="536" t="str">
        <f>IF(M175="","",VLOOKUP(M175,'G-6 Hedgerow Data'!$B$3:$AG$15,31,FALSE))</f>
        <v/>
      </c>
      <c r="AE175" s="506" t="str">
        <f t="shared" si="19"/>
        <v/>
      </c>
      <c r="AF175" s="506" t="str">
        <f t="shared" si="20"/>
        <v/>
      </c>
      <c r="AG175" s="523" t="str">
        <f>IFERROR(IF(O175="","",VLOOKUP(AD175,'G-3 Multipliers'!$P$3:$Q$6,2,FALSE)),"")</f>
        <v/>
      </c>
      <c r="AH175" s="512" t="str">
        <f t="shared" si="15"/>
        <v/>
      </c>
      <c r="AI175" s="230"/>
      <c r="AJ175" s="150"/>
      <c r="AT175" s="31" t="str">
        <f>IFERROR(INDEX('G-6 Hedgerow Data'!$BJ$3:$BJ$15,MATCH(M175,'G-6 Hedgerow Data'!$B$3:$B$15,0)),"")</f>
        <v/>
      </c>
    </row>
    <row r="176" spans="2:46" ht="14.25" x14ac:dyDescent="0.2">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c r="N176" s="497" t="str">
        <f>IFERROR(IF(B176="","",INDEX('G-6 Hedgerow Data'!$AN$3:$AZ$15,MATCH(C176,'G-6 Hedgerow Data'!$AM$3:$AM$15,0),MATCH(M176,'G-6 Hedgerow Data'!$AN$2:$AZ$2,0))),"")</f>
        <v/>
      </c>
      <c r="O176" s="498" t="str">
        <f t="shared" si="16"/>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7"/>
        <v/>
      </c>
      <c r="AB176" s="520" t="str">
        <f t="shared" si="18"/>
        <v/>
      </c>
      <c r="AC176" s="521" t="str">
        <f t="shared" si="14"/>
        <v/>
      </c>
      <c r="AD176" s="536" t="str">
        <f>IF(M176="","",VLOOKUP(M176,'G-6 Hedgerow Data'!$B$3:$AG$15,31,FALSE))</f>
        <v/>
      </c>
      <c r="AE176" s="506" t="str">
        <f t="shared" si="19"/>
        <v/>
      </c>
      <c r="AF176" s="506" t="str">
        <f t="shared" si="20"/>
        <v/>
      </c>
      <c r="AG176" s="523" t="str">
        <f>IFERROR(IF(O176="","",VLOOKUP(AD176,'G-3 Multipliers'!$P$3:$Q$6,2,FALSE)),"")</f>
        <v/>
      </c>
      <c r="AH176" s="512" t="str">
        <f t="shared" si="15"/>
        <v/>
      </c>
      <c r="AI176" s="230"/>
      <c r="AJ176" s="150"/>
      <c r="AT176" s="31" t="str">
        <f>IFERROR(INDEX('G-6 Hedgerow Data'!$BJ$3:$BJ$15,MATCH(M176,'G-6 Hedgerow Data'!$B$3:$B$15,0)),"")</f>
        <v/>
      </c>
    </row>
    <row r="177" spans="2:46" ht="14.25" x14ac:dyDescent="0.2">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c r="N177" s="497" t="str">
        <f>IFERROR(IF(B177="","",INDEX('G-6 Hedgerow Data'!$AN$3:$AZ$15,MATCH(C177,'G-6 Hedgerow Data'!$AM$3:$AM$15,0),MATCH(M177,'G-6 Hedgerow Data'!$AN$2:$AZ$2,0))),"")</f>
        <v/>
      </c>
      <c r="O177" s="498" t="str">
        <f t="shared" si="16"/>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7"/>
        <v/>
      </c>
      <c r="AB177" s="520" t="str">
        <f t="shared" si="18"/>
        <v/>
      </c>
      <c r="AC177" s="521" t="str">
        <f t="shared" si="14"/>
        <v/>
      </c>
      <c r="AD177" s="536" t="str">
        <f>IF(M177="","",VLOOKUP(M177,'G-6 Hedgerow Data'!$B$3:$AG$15,31,FALSE))</f>
        <v/>
      </c>
      <c r="AE177" s="506" t="str">
        <f t="shared" si="19"/>
        <v/>
      </c>
      <c r="AF177" s="506" t="str">
        <f t="shared" si="20"/>
        <v/>
      </c>
      <c r="AG177" s="523" t="str">
        <f>IFERROR(IF(O177="","",VLOOKUP(AD177,'G-3 Multipliers'!$P$3:$Q$6,2,FALSE)),"")</f>
        <v/>
      </c>
      <c r="AH177" s="512" t="str">
        <f t="shared" si="15"/>
        <v/>
      </c>
      <c r="AI177" s="230"/>
      <c r="AJ177" s="150"/>
      <c r="AT177" s="31" t="str">
        <f>IFERROR(INDEX('G-6 Hedgerow Data'!$BJ$3:$BJ$15,MATCH(M177,'G-6 Hedgerow Data'!$B$3:$B$15,0)),"")</f>
        <v/>
      </c>
    </row>
    <row r="178" spans="2:46" ht="14.25" x14ac:dyDescent="0.2">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c r="N178" s="497" t="str">
        <f>IFERROR(IF(B178="","",INDEX('G-6 Hedgerow Data'!$AN$3:$AZ$15,MATCH(C178,'G-6 Hedgerow Data'!$AM$3:$AM$15,0),MATCH(M178,'G-6 Hedgerow Data'!$AN$2:$AZ$2,0))),"")</f>
        <v/>
      </c>
      <c r="O178" s="498" t="str">
        <f t="shared" si="16"/>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7"/>
        <v/>
      </c>
      <c r="AB178" s="520" t="str">
        <f t="shared" si="18"/>
        <v/>
      </c>
      <c r="AC178" s="521" t="str">
        <f t="shared" si="14"/>
        <v/>
      </c>
      <c r="AD178" s="536" t="str">
        <f>IF(M178="","",VLOOKUP(M178,'G-6 Hedgerow Data'!$B$3:$AG$15,31,FALSE))</f>
        <v/>
      </c>
      <c r="AE178" s="506" t="str">
        <f t="shared" si="19"/>
        <v/>
      </c>
      <c r="AF178" s="506" t="str">
        <f t="shared" si="20"/>
        <v/>
      </c>
      <c r="AG178" s="523" t="str">
        <f>IFERROR(IF(O178="","",VLOOKUP(AD178,'G-3 Multipliers'!$P$3:$Q$6,2,FALSE)),"")</f>
        <v/>
      </c>
      <c r="AH178" s="512" t="str">
        <f t="shared" si="15"/>
        <v/>
      </c>
      <c r="AI178" s="230"/>
      <c r="AJ178" s="150"/>
      <c r="AT178" s="31" t="str">
        <f>IFERROR(INDEX('G-6 Hedgerow Data'!$BJ$3:$BJ$15,MATCH(M178,'G-6 Hedgerow Data'!$B$3:$B$15,0)),"")</f>
        <v/>
      </c>
    </row>
    <row r="179" spans="2:46" ht="14.25" x14ac:dyDescent="0.2">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c r="N179" s="497" t="str">
        <f>IFERROR(IF(B179="","",INDEX('G-6 Hedgerow Data'!$AN$3:$AZ$15,MATCH(C179,'G-6 Hedgerow Data'!$AM$3:$AM$15,0),MATCH(M179,'G-6 Hedgerow Data'!$AN$2:$AZ$2,0))),"")</f>
        <v/>
      </c>
      <c r="O179" s="498" t="str">
        <f t="shared" si="16"/>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7"/>
        <v/>
      </c>
      <c r="AB179" s="520" t="str">
        <f t="shared" si="18"/>
        <v/>
      </c>
      <c r="AC179" s="521" t="str">
        <f t="shared" si="14"/>
        <v/>
      </c>
      <c r="AD179" s="536" t="str">
        <f>IF(M179="","",VLOOKUP(M179,'G-6 Hedgerow Data'!$B$3:$AG$15,31,FALSE))</f>
        <v/>
      </c>
      <c r="AE179" s="506" t="str">
        <f t="shared" si="19"/>
        <v/>
      </c>
      <c r="AF179" s="506" t="str">
        <f t="shared" si="20"/>
        <v/>
      </c>
      <c r="AG179" s="523" t="str">
        <f>IFERROR(IF(O179="","",VLOOKUP(AD179,'G-3 Multipliers'!$P$3:$Q$6,2,FALSE)),"")</f>
        <v/>
      </c>
      <c r="AH179" s="512" t="str">
        <f t="shared" si="15"/>
        <v/>
      </c>
      <c r="AI179" s="230"/>
      <c r="AJ179" s="150"/>
      <c r="AT179" s="31" t="str">
        <f>IFERROR(INDEX('G-6 Hedgerow Data'!$BJ$3:$BJ$15,MATCH(M179,'G-6 Hedgerow Data'!$B$3:$B$15,0)),"")</f>
        <v/>
      </c>
    </row>
    <row r="180" spans="2:46" ht="14.25" x14ac:dyDescent="0.2">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c r="N180" s="497" t="str">
        <f>IFERROR(IF(B180="","",INDEX('G-6 Hedgerow Data'!$AN$3:$AZ$15,MATCH(C180,'G-6 Hedgerow Data'!$AM$3:$AM$15,0),MATCH(M180,'G-6 Hedgerow Data'!$AN$2:$AZ$2,0))),"")</f>
        <v/>
      </c>
      <c r="O180" s="498" t="str">
        <f t="shared" si="16"/>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7"/>
        <v/>
      </c>
      <c r="AB180" s="520" t="str">
        <f t="shared" si="18"/>
        <v/>
      </c>
      <c r="AC180" s="521" t="str">
        <f t="shared" si="14"/>
        <v/>
      </c>
      <c r="AD180" s="536" t="str">
        <f>IF(M180="","",VLOOKUP(M180,'G-6 Hedgerow Data'!$B$3:$AG$15,31,FALSE))</f>
        <v/>
      </c>
      <c r="AE180" s="506" t="str">
        <f t="shared" si="19"/>
        <v/>
      </c>
      <c r="AF180" s="506" t="str">
        <f t="shared" si="20"/>
        <v/>
      </c>
      <c r="AG180" s="523" t="str">
        <f>IFERROR(IF(O180="","",VLOOKUP(AD180,'G-3 Multipliers'!$P$3:$Q$6,2,FALSE)),"")</f>
        <v/>
      </c>
      <c r="AH180" s="512" t="str">
        <f t="shared" si="15"/>
        <v/>
      </c>
      <c r="AI180" s="230"/>
      <c r="AJ180" s="150"/>
      <c r="AT180" s="31" t="str">
        <f>IFERROR(INDEX('G-6 Hedgerow Data'!$BJ$3:$BJ$15,MATCH(M180,'G-6 Hedgerow Data'!$B$3:$B$15,0)),"")</f>
        <v/>
      </c>
    </row>
    <row r="181" spans="2:46" ht="14.25" x14ac:dyDescent="0.2">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c r="N181" s="497" t="str">
        <f>IFERROR(IF(B181="","",INDEX('G-6 Hedgerow Data'!$AN$3:$AZ$15,MATCH(C181,'G-6 Hedgerow Data'!$AM$3:$AM$15,0),MATCH(M181,'G-6 Hedgerow Data'!$AN$2:$AZ$2,0))),"")</f>
        <v/>
      </c>
      <c r="O181" s="498" t="str">
        <f t="shared" si="16"/>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7"/>
        <v/>
      </c>
      <c r="AB181" s="520" t="str">
        <f t="shared" si="18"/>
        <v/>
      </c>
      <c r="AC181" s="521" t="str">
        <f t="shared" si="14"/>
        <v/>
      </c>
      <c r="AD181" s="536" t="str">
        <f>IF(M181="","",VLOOKUP(M181,'G-6 Hedgerow Data'!$B$3:$AG$15,31,FALSE))</f>
        <v/>
      </c>
      <c r="AE181" s="506" t="str">
        <f t="shared" si="19"/>
        <v/>
      </c>
      <c r="AF181" s="506" t="str">
        <f t="shared" si="20"/>
        <v/>
      </c>
      <c r="AG181" s="523" t="str">
        <f>IFERROR(IF(O181="","",VLOOKUP(AD181,'G-3 Multipliers'!$P$3:$Q$6,2,FALSE)),"")</f>
        <v/>
      </c>
      <c r="AH181" s="512" t="str">
        <f t="shared" si="15"/>
        <v/>
      </c>
      <c r="AI181" s="230"/>
      <c r="AJ181" s="150"/>
      <c r="AT181" s="31" t="str">
        <f>IFERROR(INDEX('G-6 Hedgerow Data'!$BJ$3:$BJ$15,MATCH(M181,'G-6 Hedgerow Data'!$B$3:$B$15,0)),"")</f>
        <v/>
      </c>
    </row>
    <row r="182" spans="2:46" ht="14.25" x14ac:dyDescent="0.2">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c r="N182" s="497" t="str">
        <f>IFERROR(IF(B182="","",INDEX('G-6 Hedgerow Data'!$AN$3:$AZ$15,MATCH(C182,'G-6 Hedgerow Data'!$AM$3:$AM$15,0),MATCH(M182,'G-6 Hedgerow Data'!$AN$2:$AZ$2,0))),"")</f>
        <v/>
      </c>
      <c r="O182" s="498" t="str">
        <f t="shared" si="16"/>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7"/>
        <v/>
      </c>
      <c r="AB182" s="520" t="str">
        <f t="shared" si="18"/>
        <v/>
      </c>
      <c r="AC182" s="521" t="str">
        <f t="shared" si="14"/>
        <v/>
      </c>
      <c r="AD182" s="536" t="str">
        <f>IF(M182="","",VLOOKUP(M182,'G-6 Hedgerow Data'!$B$3:$AG$15,31,FALSE))</f>
        <v/>
      </c>
      <c r="AE182" s="506" t="str">
        <f t="shared" si="19"/>
        <v/>
      </c>
      <c r="AF182" s="506" t="str">
        <f t="shared" si="20"/>
        <v/>
      </c>
      <c r="AG182" s="523" t="str">
        <f>IFERROR(IF(O182="","",VLOOKUP(AD182,'G-3 Multipliers'!$P$3:$Q$6,2,FALSE)),"")</f>
        <v/>
      </c>
      <c r="AH182" s="512" t="str">
        <f t="shared" si="15"/>
        <v/>
      </c>
      <c r="AI182" s="230"/>
      <c r="AJ182" s="150"/>
      <c r="AT182" s="31" t="str">
        <f>IFERROR(INDEX('G-6 Hedgerow Data'!$BJ$3:$BJ$15,MATCH(M182,'G-6 Hedgerow Data'!$B$3:$B$15,0)),"")</f>
        <v/>
      </c>
    </row>
    <row r="183" spans="2:46" ht="14.25" x14ac:dyDescent="0.2">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c r="N183" s="497" t="str">
        <f>IFERROR(IF(B183="","",INDEX('G-6 Hedgerow Data'!$AN$3:$AZ$15,MATCH(C183,'G-6 Hedgerow Data'!$AM$3:$AM$15,0),MATCH(M183,'G-6 Hedgerow Data'!$AN$2:$AZ$2,0))),"")</f>
        <v/>
      </c>
      <c r="O183" s="498" t="str">
        <f t="shared" si="16"/>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7"/>
        <v/>
      </c>
      <c r="AB183" s="520" t="str">
        <f t="shared" si="18"/>
        <v/>
      </c>
      <c r="AC183" s="521" t="str">
        <f t="shared" si="14"/>
        <v/>
      </c>
      <c r="AD183" s="536" t="str">
        <f>IF(M183="","",VLOOKUP(M183,'G-6 Hedgerow Data'!$B$3:$AG$15,31,FALSE))</f>
        <v/>
      </c>
      <c r="AE183" s="506" t="str">
        <f t="shared" si="19"/>
        <v/>
      </c>
      <c r="AF183" s="506" t="str">
        <f t="shared" si="20"/>
        <v/>
      </c>
      <c r="AG183" s="523" t="str">
        <f>IFERROR(IF(O183="","",VLOOKUP(AD183,'G-3 Multipliers'!$P$3:$Q$6,2,FALSE)),"")</f>
        <v/>
      </c>
      <c r="AH183" s="512" t="str">
        <f t="shared" si="15"/>
        <v/>
      </c>
      <c r="AI183" s="230"/>
      <c r="AJ183" s="150"/>
      <c r="AT183" s="31" t="str">
        <f>IFERROR(INDEX('G-6 Hedgerow Data'!$BJ$3:$BJ$15,MATCH(M183,'G-6 Hedgerow Data'!$B$3:$B$15,0)),"")</f>
        <v/>
      </c>
    </row>
    <row r="184" spans="2:46" ht="14.25" x14ac:dyDescent="0.2">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c r="N184" s="497" t="str">
        <f>IFERROR(IF(B184="","",INDEX('G-6 Hedgerow Data'!$AN$3:$AZ$15,MATCH(C184,'G-6 Hedgerow Data'!$AM$3:$AM$15,0),MATCH(M184,'G-6 Hedgerow Data'!$AN$2:$AZ$2,0))),"")</f>
        <v/>
      </c>
      <c r="O184" s="498" t="str">
        <f t="shared" si="16"/>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7"/>
        <v/>
      </c>
      <c r="AB184" s="520" t="str">
        <f t="shared" si="18"/>
        <v/>
      </c>
      <c r="AC184" s="521" t="str">
        <f t="shared" si="14"/>
        <v/>
      </c>
      <c r="AD184" s="536" t="str">
        <f>IF(M184="","",VLOOKUP(M184,'G-6 Hedgerow Data'!$B$3:$AG$15,31,FALSE))</f>
        <v/>
      </c>
      <c r="AE184" s="506" t="str">
        <f t="shared" si="19"/>
        <v/>
      </c>
      <c r="AF184" s="506" t="str">
        <f t="shared" si="20"/>
        <v/>
      </c>
      <c r="AG184" s="523" t="str">
        <f>IFERROR(IF(O184="","",VLOOKUP(AD184,'G-3 Multipliers'!$P$3:$Q$6,2,FALSE)),"")</f>
        <v/>
      </c>
      <c r="AH184" s="512" t="str">
        <f t="shared" si="15"/>
        <v/>
      </c>
      <c r="AI184" s="230"/>
      <c r="AJ184" s="150"/>
      <c r="AT184" s="31" t="str">
        <f>IFERROR(INDEX('G-6 Hedgerow Data'!$BJ$3:$BJ$15,MATCH(M184,'G-6 Hedgerow Data'!$B$3:$B$15,0)),"")</f>
        <v/>
      </c>
    </row>
    <row r="185" spans="2:46" ht="14.25" x14ac:dyDescent="0.2">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c r="N185" s="497" t="str">
        <f>IFERROR(IF(B185="","",INDEX('G-6 Hedgerow Data'!$AN$3:$AZ$15,MATCH(C185,'G-6 Hedgerow Data'!$AM$3:$AM$15,0),MATCH(M185,'G-6 Hedgerow Data'!$AN$2:$AZ$2,0))),"")</f>
        <v/>
      </c>
      <c r="O185" s="498" t="str">
        <f t="shared" si="16"/>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7"/>
        <v/>
      </c>
      <c r="AB185" s="520" t="str">
        <f t="shared" si="18"/>
        <v/>
      </c>
      <c r="AC185" s="521" t="str">
        <f t="shared" si="14"/>
        <v/>
      </c>
      <c r="AD185" s="536" t="str">
        <f>IF(M185="","",VLOOKUP(M185,'G-6 Hedgerow Data'!$B$3:$AG$15,31,FALSE))</f>
        <v/>
      </c>
      <c r="AE185" s="506" t="str">
        <f t="shared" si="19"/>
        <v/>
      </c>
      <c r="AF185" s="506" t="str">
        <f t="shared" si="20"/>
        <v/>
      </c>
      <c r="AG185" s="523" t="str">
        <f>IFERROR(IF(O185="","",VLOOKUP(AD185,'G-3 Multipliers'!$P$3:$Q$6,2,FALSE)),"")</f>
        <v/>
      </c>
      <c r="AH185" s="512" t="str">
        <f t="shared" si="15"/>
        <v/>
      </c>
      <c r="AI185" s="230"/>
      <c r="AJ185" s="150"/>
      <c r="AT185" s="31" t="str">
        <f>IFERROR(INDEX('G-6 Hedgerow Data'!$BJ$3:$BJ$15,MATCH(M185,'G-6 Hedgerow Data'!$B$3:$B$15,0)),"")</f>
        <v/>
      </c>
    </row>
    <row r="186" spans="2:46" ht="14.25" x14ac:dyDescent="0.2">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c r="N186" s="497" t="str">
        <f>IFERROR(IF(B186="","",INDEX('G-6 Hedgerow Data'!$AN$3:$AZ$15,MATCH(C186,'G-6 Hedgerow Data'!$AM$3:$AM$15,0),MATCH(M186,'G-6 Hedgerow Data'!$AN$2:$AZ$2,0))),"")</f>
        <v/>
      </c>
      <c r="O186" s="498" t="str">
        <f t="shared" si="16"/>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7"/>
        <v/>
      </c>
      <c r="AB186" s="520" t="str">
        <f t="shared" si="18"/>
        <v/>
      </c>
      <c r="AC186" s="521" t="str">
        <f t="shared" si="14"/>
        <v/>
      </c>
      <c r="AD186" s="536" t="str">
        <f>IF(M186="","",VLOOKUP(M186,'G-6 Hedgerow Data'!$B$3:$AG$15,31,FALSE))</f>
        <v/>
      </c>
      <c r="AE186" s="506" t="str">
        <f t="shared" si="19"/>
        <v/>
      </c>
      <c r="AF186" s="506" t="str">
        <f t="shared" si="20"/>
        <v/>
      </c>
      <c r="AG186" s="523" t="str">
        <f>IFERROR(IF(O186="","",VLOOKUP(AD186,'G-3 Multipliers'!$P$3:$Q$6,2,FALSE)),"")</f>
        <v/>
      </c>
      <c r="AH186" s="512" t="str">
        <f t="shared" si="15"/>
        <v/>
      </c>
      <c r="AI186" s="230"/>
      <c r="AJ186" s="150"/>
      <c r="AT186" s="31" t="str">
        <f>IFERROR(INDEX('G-6 Hedgerow Data'!$BJ$3:$BJ$15,MATCH(M186,'G-6 Hedgerow Data'!$B$3:$B$15,0)),"")</f>
        <v/>
      </c>
    </row>
    <row r="187" spans="2:46" ht="14.25" x14ac:dyDescent="0.2">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c r="N187" s="497" t="str">
        <f>IFERROR(IF(B187="","",INDEX('G-6 Hedgerow Data'!$AN$3:$AZ$15,MATCH(C187,'G-6 Hedgerow Data'!$AM$3:$AM$15,0),MATCH(M187,'G-6 Hedgerow Data'!$AN$2:$AZ$2,0))),"")</f>
        <v/>
      </c>
      <c r="O187" s="498" t="str">
        <f t="shared" si="16"/>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7"/>
        <v/>
      </c>
      <c r="AB187" s="520" t="str">
        <f t="shared" si="18"/>
        <v/>
      </c>
      <c r="AC187" s="521" t="str">
        <f t="shared" si="14"/>
        <v/>
      </c>
      <c r="AD187" s="536" t="str">
        <f>IF(M187="","",VLOOKUP(M187,'G-6 Hedgerow Data'!$B$3:$AG$15,31,FALSE))</f>
        <v/>
      </c>
      <c r="AE187" s="506" t="str">
        <f t="shared" si="19"/>
        <v/>
      </c>
      <c r="AF187" s="506" t="str">
        <f t="shared" si="20"/>
        <v/>
      </c>
      <c r="AG187" s="523" t="str">
        <f>IFERROR(IF(O187="","",VLOOKUP(AD187,'G-3 Multipliers'!$P$3:$Q$6,2,FALSE)),"")</f>
        <v/>
      </c>
      <c r="AH187" s="512" t="str">
        <f t="shared" si="15"/>
        <v/>
      </c>
      <c r="AI187" s="230"/>
      <c r="AJ187" s="150"/>
      <c r="AT187" s="31" t="str">
        <f>IFERROR(INDEX('G-6 Hedgerow Data'!$BJ$3:$BJ$15,MATCH(M187,'G-6 Hedgerow Data'!$B$3:$B$15,0)),"")</f>
        <v/>
      </c>
    </row>
    <row r="188" spans="2:46" ht="14.25" x14ac:dyDescent="0.2">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c r="N188" s="497" t="str">
        <f>IFERROR(IF(B188="","",INDEX('G-6 Hedgerow Data'!$AN$3:$AZ$15,MATCH(C188,'G-6 Hedgerow Data'!$AM$3:$AM$15,0),MATCH(M188,'G-6 Hedgerow Data'!$AN$2:$AZ$2,0))),"")</f>
        <v/>
      </c>
      <c r="O188" s="498" t="str">
        <f t="shared" si="16"/>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7"/>
        <v/>
      </c>
      <c r="AB188" s="520" t="str">
        <f t="shared" si="18"/>
        <v/>
      </c>
      <c r="AC188" s="521" t="str">
        <f t="shared" si="14"/>
        <v/>
      </c>
      <c r="AD188" s="536" t="str">
        <f>IF(M188="","",VLOOKUP(M188,'G-6 Hedgerow Data'!$B$3:$AG$15,31,FALSE))</f>
        <v/>
      </c>
      <c r="AE188" s="506" t="str">
        <f t="shared" si="19"/>
        <v/>
      </c>
      <c r="AF188" s="506" t="str">
        <f t="shared" si="20"/>
        <v/>
      </c>
      <c r="AG188" s="523" t="str">
        <f>IFERROR(IF(O188="","",VLOOKUP(AD188,'G-3 Multipliers'!$P$3:$Q$6,2,FALSE)),"")</f>
        <v/>
      </c>
      <c r="AH188" s="512" t="str">
        <f t="shared" si="15"/>
        <v/>
      </c>
      <c r="AI188" s="230"/>
      <c r="AJ188" s="150"/>
      <c r="AT188" s="31" t="str">
        <f>IFERROR(INDEX('G-6 Hedgerow Data'!$BJ$3:$BJ$15,MATCH(M188,'G-6 Hedgerow Data'!$B$3:$B$15,0)),"")</f>
        <v/>
      </c>
    </row>
    <row r="189" spans="2:46" ht="14.25" x14ac:dyDescent="0.2">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c r="N189" s="497" t="str">
        <f>IFERROR(IF(B189="","",INDEX('G-6 Hedgerow Data'!$AN$3:$AZ$15,MATCH(C189,'G-6 Hedgerow Data'!$AM$3:$AM$15,0),MATCH(M189,'G-6 Hedgerow Data'!$AN$2:$AZ$2,0))),"")</f>
        <v/>
      </c>
      <c r="O189" s="498" t="str">
        <f t="shared" si="16"/>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7"/>
        <v/>
      </c>
      <c r="AB189" s="520" t="str">
        <f t="shared" si="18"/>
        <v/>
      </c>
      <c r="AC189" s="521" t="str">
        <f t="shared" si="14"/>
        <v/>
      </c>
      <c r="AD189" s="536" t="str">
        <f>IF(M189="","",VLOOKUP(M189,'G-6 Hedgerow Data'!$B$3:$AG$15,31,FALSE))</f>
        <v/>
      </c>
      <c r="AE189" s="506" t="str">
        <f t="shared" si="19"/>
        <v/>
      </c>
      <c r="AF189" s="506" t="str">
        <f t="shared" si="20"/>
        <v/>
      </c>
      <c r="AG189" s="523" t="str">
        <f>IFERROR(IF(O189="","",VLOOKUP(AD189,'G-3 Multipliers'!$P$3:$Q$6,2,FALSE)),"")</f>
        <v/>
      </c>
      <c r="AH189" s="512" t="str">
        <f t="shared" si="15"/>
        <v/>
      </c>
      <c r="AI189" s="230"/>
      <c r="AJ189" s="150"/>
      <c r="AT189" s="31" t="str">
        <f>IFERROR(INDEX('G-6 Hedgerow Data'!$BJ$3:$BJ$15,MATCH(M189,'G-6 Hedgerow Data'!$B$3:$B$15,0)),"")</f>
        <v/>
      </c>
    </row>
    <row r="190" spans="2:46" ht="14.25" x14ac:dyDescent="0.2">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c r="N190" s="497" t="str">
        <f>IFERROR(IF(B190="","",INDEX('G-6 Hedgerow Data'!$AN$3:$AZ$15,MATCH(C190,'G-6 Hedgerow Data'!$AM$3:$AM$15,0),MATCH(M190,'G-6 Hedgerow Data'!$AN$2:$AZ$2,0))),"")</f>
        <v/>
      </c>
      <c r="O190" s="498" t="str">
        <f t="shared" si="16"/>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7"/>
        <v/>
      </c>
      <c r="AB190" s="520" t="str">
        <f t="shared" si="18"/>
        <v/>
      </c>
      <c r="AC190" s="521" t="str">
        <f t="shared" si="14"/>
        <v/>
      </c>
      <c r="AD190" s="536" t="str">
        <f>IF(M190="","",VLOOKUP(M190,'G-6 Hedgerow Data'!$B$3:$AG$15,31,FALSE))</f>
        <v/>
      </c>
      <c r="AE190" s="506" t="str">
        <f t="shared" si="19"/>
        <v/>
      </c>
      <c r="AF190" s="506" t="str">
        <f t="shared" si="20"/>
        <v/>
      </c>
      <c r="AG190" s="523" t="str">
        <f>IFERROR(IF(O190="","",VLOOKUP(AD190,'G-3 Multipliers'!$P$3:$Q$6,2,FALSE)),"")</f>
        <v/>
      </c>
      <c r="AH190" s="512" t="str">
        <f t="shared" si="15"/>
        <v/>
      </c>
      <c r="AI190" s="230"/>
      <c r="AJ190" s="150"/>
      <c r="AT190" s="31" t="str">
        <f>IFERROR(INDEX('G-6 Hedgerow Data'!$BJ$3:$BJ$15,MATCH(M190,'G-6 Hedgerow Data'!$B$3:$B$15,0)),"")</f>
        <v/>
      </c>
    </row>
    <row r="191" spans="2:46" ht="14.25" x14ac:dyDescent="0.2">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c r="N191" s="497" t="str">
        <f>IFERROR(IF(B191="","",INDEX('G-6 Hedgerow Data'!$AN$3:$AZ$15,MATCH(C191,'G-6 Hedgerow Data'!$AM$3:$AM$15,0),MATCH(M191,'G-6 Hedgerow Data'!$AN$2:$AZ$2,0))),"")</f>
        <v/>
      </c>
      <c r="O191" s="498" t="str">
        <f t="shared" si="16"/>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7"/>
        <v/>
      </c>
      <c r="AB191" s="520" t="str">
        <f t="shared" si="18"/>
        <v/>
      </c>
      <c r="AC191" s="521" t="str">
        <f t="shared" si="14"/>
        <v/>
      </c>
      <c r="AD191" s="536" t="str">
        <f>IF(M191="","",VLOOKUP(M191,'G-6 Hedgerow Data'!$B$3:$AG$15,31,FALSE))</f>
        <v/>
      </c>
      <c r="AE191" s="506" t="str">
        <f t="shared" si="19"/>
        <v/>
      </c>
      <c r="AF191" s="506" t="str">
        <f t="shared" si="20"/>
        <v/>
      </c>
      <c r="AG191" s="523" t="str">
        <f>IFERROR(IF(O191="","",VLOOKUP(AD191,'G-3 Multipliers'!$P$3:$Q$6,2,FALSE)),"")</f>
        <v/>
      </c>
      <c r="AH191" s="512" t="str">
        <f t="shared" si="15"/>
        <v/>
      </c>
      <c r="AI191" s="230"/>
      <c r="AJ191" s="150"/>
      <c r="AT191" s="31" t="str">
        <f>IFERROR(INDEX('G-6 Hedgerow Data'!$BJ$3:$BJ$15,MATCH(M191,'G-6 Hedgerow Data'!$B$3:$B$15,0)),"")</f>
        <v/>
      </c>
    </row>
    <row r="192" spans="2:46" ht="14.25" x14ac:dyDescent="0.2">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c r="N192" s="497" t="str">
        <f>IFERROR(IF(B192="","",INDEX('G-6 Hedgerow Data'!$AN$3:$AZ$15,MATCH(C192,'G-6 Hedgerow Data'!$AM$3:$AM$15,0),MATCH(M192,'G-6 Hedgerow Data'!$AN$2:$AZ$2,0))),"")</f>
        <v/>
      </c>
      <c r="O192" s="498" t="str">
        <f t="shared" si="16"/>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7"/>
        <v/>
      </c>
      <c r="AB192" s="520" t="str">
        <f t="shared" si="18"/>
        <v/>
      </c>
      <c r="AC192" s="521" t="str">
        <f t="shared" si="14"/>
        <v/>
      </c>
      <c r="AD192" s="536" t="str">
        <f>IF(M192="","",VLOOKUP(M192,'G-6 Hedgerow Data'!$B$3:$AG$15,31,FALSE))</f>
        <v/>
      </c>
      <c r="AE192" s="506" t="str">
        <f t="shared" si="19"/>
        <v/>
      </c>
      <c r="AF192" s="506" t="str">
        <f t="shared" si="20"/>
        <v/>
      </c>
      <c r="AG192" s="523" t="str">
        <f>IFERROR(IF(O192="","",VLOOKUP(AD192,'G-3 Multipliers'!$P$3:$Q$6,2,FALSE)),"")</f>
        <v/>
      </c>
      <c r="AH192" s="512" t="str">
        <f t="shared" si="15"/>
        <v/>
      </c>
      <c r="AI192" s="230"/>
      <c r="AJ192" s="150"/>
      <c r="AT192" s="31" t="str">
        <f>IFERROR(INDEX('G-6 Hedgerow Data'!$BJ$3:$BJ$15,MATCH(M192,'G-6 Hedgerow Data'!$B$3:$B$15,0)),"")</f>
        <v/>
      </c>
    </row>
    <row r="193" spans="2:46" ht="14.25" x14ac:dyDescent="0.2">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c r="N193" s="497" t="str">
        <f>IFERROR(IF(B193="","",INDEX('G-6 Hedgerow Data'!$AN$3:$AZ$15,MATCH(C193,'G-6 Hedgerow Data'!$AM$3:$AM$15,0),MATCH(M193,'G-6 Hedgerow Data'!$AN$2:$AZ$2,0))),"")</f>
        <v/>
      </c>
      <c r="O193" s="498" t="str">
        <f t="shared" si="16"/>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7"/>
        <v/>
      </c>
      <c r="AB193" s="520" t="str">
        <f t="shared" si="18"/>
        <v/>
      </c>
      <c r="AC193" s="521" t="str">
        <f t="shared" si="14"/>
        <v/>
      </c>
      <c r="AD193" s="536" t="str">
        <f>IF(M193="","",VLOOKUP(M193,'G-6 Hedgerow Data'!$B$3:$AG$15,31,FALSE))</f>
        <v/>
      </c>
      <c r="AE193" s="506" t="str">
        <f t="shared" si="19"/>
        <v/>
      </c>
      <c r="AF193" s="506" t="str">
        <f t="shared" si="20"/>
        <v/>
      </c>
      <c r="AG193" s="523" t="str">
        <f>IFERROR(IF(O193="","",VLOOKUP(AD193,'G-3 Multipliers'!$P$3:$Q$6,2,FALSE)),"")</f>
        <v/>
      </c>
      <c r="AH193" s="512" t="str">
        <f t="shared" si="15"/>
        <v/>
      </c>
      <c r="AI193" s="230"/>
      <c r="AJ193" s="150"/>
      <c r="AT193" s="31" t="str">
        <f>IFERROR(INDEX('G-6 Hedgerow Data'!$BJ$3:$BJ$15,MATCH(M193,'G-6 Hedgerow Data'!$B$3:$B$15,0)),"")</f>
        <v/>
      </c>
    </row>
    <row r="194" spans="2:46" ht="14.25" x14ac:dyDescent="0.2">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c r="N194" s="497" t="str">
        <f>IFERROR(IF(B194="","",INDEX('G-6 Hedgerow Data'!$AN$3:$AZ$15,MATCH(C194,'G-6 Hedgerow Data'!$AM$3:$AM$15,0),MATCH(M194,'G-6 Hedgerow Data'!$AN$2:$AZ$2,0))),"")</f>
        <v/>
      </c>
      <c r="O194" s="498" t="str">
        <f t="shared" si="16"/>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7"/>
        <v/>
      </c>
      <c r="AB194" s="520" t="str">
        <f t="shared" si="18"/>
        <v/>
      </c>
      <c r="AC194" s="521" t="str">
        <f t="shared" si="14"/>
        <v/>
      </c>
      <c r="AD194" s="536" t="str">
        <f>IF(M194="","",VLOOKUP(M194,'G-6 Hedgerow Data'!$B$3:$AG$15,31,FALSE))</f>
        <v/>
      </c>
      <c r="AE194" s="506" t="str">
        <f t="shared" si="19"/>
        <v/>
      </c>
      <c r="AF194" s="506" t="str">
        <f t="shared" si="20"/>
        <v/>
      </c>
      <c r="AG194" s="523" t="str">
        <f>IFERROR(IF(O194="","",VLOOKUP(AD194,'G-3 Multipliers'!$P$3:$Q$6,2,FALSE)),"")</f>
        <v/>
      </c>
      <c r="AH194" s="512" t="str">
        <f t="shared" si="15"/>
        <v/>
      </c>
      <c r="AI194" s="230"/>
      <c r="AJ194" s="150"/>
      <c r="AT194" s="31" t="str">
        <f>IFERROR(INDEX('G-6 Hedgerow Data'!$BJ$3:$BJ$15,MATCH(M194,'G-6 Hedgerow Data'!$B$3:$B$15,0)),"")</f>
        <v/>
      </c>
    </row>
    <row r="195" spans="2:46" ht="14.25" x14ac:dyDescent="0.2">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c r="N195" s="497" t="str">
        <f>IFERROR(IF(B195="","",INDEX('G-6 Hedgerow Data'!$AN$3:$AZ$15,MATCH(C195,'G-6 Hedgerow Data'!$AM$3:$AM$15,0),MATCH(M195,'G-6 Hedgerow Data'!$AN$2:$AZ$2,0))),"")</f>
        <v/>
      </c>
      <c r="O195" s="498" t="str">
        <f t="shared" si="16"/>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7"/>
        <v/>
      </c>
      <c r="AB195" s="520" t="str">
        <f t="shared" si="18"/>
        <v/>
      </c>
      <c r="AC195" s="521" t="str">
        <f t="shared" si="14"/>
        <v/>
      </c>
      <c r="AD195" s="536" t="str">
        <f>IF(M195="","",VLOOKUP(M195,'G-6 Hedgerow Data'!$B$3:$AG$15,31,FALSE))</f>
        <v/>
      </c>
      <c r="AE195" s="506" t="str">
        <f t="shared" si="19"/>
        <v/>
      </c>
      <c r="AF195" s="506" t="str">
        <f t="shared" si="20"/>
        <v/>
      </c>
      <c r="AG195" s="523" t="str">
        <f>IFERROR(IF(O195="","",VLOOKUP(AD195,'G-3 Multipliers'!$P$3:$Q$6,2,FALSE)),"")</f>
        <v/>
      </c>
      <c r="AH195" s="512" t="str">
        <f t="shared" si="15"/>
        <v/>
      </c>
      <c r="AI195" s="230"/>
      <c r="AJ195" s="150"/>
      <c r="AT195" s="31" t="str">
        <f>IFERROR(INDEX('G-6 Hedgerow Data'!$BJ$3:$BJ$15,MATCH(M195,'G-6 Hedgerow Data'!$B$3:$B$15,0)),"")</f>
        <v/>
      </c>
    </row>
    <row r="196" spans="2:46" ht="14.25" x14ac:dyDescent="0.2">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c r="N196" s="497" t="str">
        <f>IFERROR(IF(B196="","",INDEX('G-6 Hedgerow Data'!$AN$3:$AZ$15,MATCH(C196,'G-6 Hedgerow Data'!$AM$3:$AM$15,0),MATCH(M196,'G-6 Hedgerow Data'!$AN$2:$AZ$2,0))),"")</f>
        <v/>
      </c>
      <c r="O196" s="498" t="str">
        <f t="shared" si="16"/>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7"/>
        <v/>
      </c>
      <c r="AB196" s="520" t="str">
        <f t="shared" si="18"/>
        <v/>
      </c>
      <c r="AC196" s="521" t="str">
        <f t="shared" si="14"/>
        <v/>
      </c>
      <c r="AD196" s="536" t="str">
        <f>IF(M196="","",VLOOKUP(M196,'G-6 Hedgerow Data'!$B$3:$AG$15,31,FALSE))</f>
        <v/>
      </c>
      <c r="AE196" s="506" t="str">
        <f t="shared" si="19"/>
        <v/>
      </c>
      <c r="AF196" s="506" t="str">
        <f t="shared" si="20"/>
        <v/>
      </c>
      <c r="AG196" s="523" t="str">
        <f>IFERROR(IF(O196="","",VLOOKUP(AD196,'G-3 Multipliers'!$P$3:$Q$6,2,FALSE)),"")</f>
        <v/>
      </c>
      <c r="AH196" s="512" t="str">
        <f t="shared" si="15"/>
        <v/>
      </c>
      <c r="AI196" s="230"/>
      <c r="AJ196" s="150"/>
      <c r="AT196" s="31" t="str">
        <f>IFERROR(INDEX('G-6 Hedgerow Data'!$BJ$3:$BJ$15,MATCH(M196,'G-6 Hedgerow Data'!$B$3:$B$15,0)),"")</f>
        <v/>
      </c>
    </row>
    <row r="197" spans="2:46" ht="14.25" x14ac:dyDescent="0.2">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c r="N197" s="497" t="str">
        <f>IFERROR(IF(B197="","",INDEX('G-6 Hedgerow Data'!$AN$3:$AZ$15,MATCH(C197,'G-6 Hedgerow Data'!$AM$3:$AM$15,0),MATCH(M197,'G-6 Hedgerow Data'!$AN$2:$AZ$2,0))),"")</f>
        <v/>
      </c>
      <c r="O197" s="498" t="str">
        <f t="shared" si="16"/>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7"/>
        <v/>
      </c>
      <c r="AB197" s="520" t="str">
        <f t="shared" si="18"/>
        <v/>
      </c>
      <c r="AC197" s="521" t="str">
        <f t="shared" si="14"/>
        <v/>
      </c>
      <c r="AD197" s="536" t="str">
        <f>IF(M197="","",VLOOKUP(M197,'G-6 Hedgerow Data'!$B$3:$AG$15,31,FALSE))</f>
        <v/>
      </c>
      <c r="AE197" s="506" t="str">
        <f t="shared" si="19"/>
        <v/>
      </c>
      <c r="AF197" s="506" t="str">
        <f t="shared" si="20"/>
        <v/>
      </c>
      <c r="AG197" s="523" t="str">
        <f>IFERROR(IF(O197="","",VLOOKUP(AD197,'G-3 Multipliers'!$P$3:$Q$6,2,FALSE)),"")</f>
        <v/>
      </c>
      <c r="AH197" s="512" t="str">
        <f t="shared" si="15"/>
        <v/>
      </c>
      <c r="AI197" s="230"/>
      <c r="AJ197" s="150"/>
      <c r="AT197" s="31" t="str">
        <f>IFERROR(INDEX('G-6 Hedgerow Data'!$BJ$3:$BJ$15,MATCH(M197,'G-6 Hedgerow Data'!$B$3:$B$15,0)),"")</f>
        <v/>
      </c>
    </row>
    <row r="198" spans="2:46" ht="14.25" x14ac:dyDescent="0.2">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c r="N198" s="497" t="str">
        <f>IFERROR(IF(B198="","",INDEX('G-6 Hedgerow Data'!$AN$3:$AZ$15,MATCH(C198,'G-6 Hedgerow Data'!$AM$3:$AM$15,0),MATCH(M198,'G-6 Hedgerow Data'!$AN$2:$AZ$2,0))),"")</f>
        <v/>
      </c>
      <c r="O198" s="498" t="str">
        <f t="shared" si="16"/>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7"/>
        <v/>
      </c>
      <c r="AB198" s="520" t="str">
        <f t="shared" si="18"/>
        <v/>
      </c>
      <c r="AC198" s="521" t="str">
        <f t="shared" si="14"/>
        <v/>
      </c>
      <c r="AD198" s="536" t="str">
        <f>IF(M198="","",VLOOKUP(M198,'G-6 Hedgerow Data'!$B$3:$AG$15,31,FALSE))</f>
        <v/>
      </c>
      <c r="AE198" s="506" t="str">
        <f t="shared" si="19"/>
        <v/>
      </c>
      <c r="AF198" s="506" t="str">
        <f t="shared" si="20"/>
        <v/>
      </c>
      <c r="AG198" s="523" t="str">
        <f>IFERROR(IF(O198="","",VLOOKUP(AD198,'G-3 Multipliers'!$P$3:$Q$6,2,FALSE)),"")</f>
        <v/>
      </c>
      <c r="AH198" s="512" t="str">
        <f t="shared" si="15"/>
        <v/>
      </c>
      <c r="AI198" s="230"/>
      <c r="AJ198" s="150"/>
      <c r="AT198" s="31" t="str">
        <f>IFERROR(INDEX('G-6 Hedgerow Data'!$BJ$3:$BJ$15,MATCH(M198,'G-6 Hedgerow Data'!$B$3:$B$15,0)),"")</f>
        <v/>
      </c>
    </row>
    <row r="199" spans="2:46" ht="14.25" x14ac:dyDescent="0.2">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c r="N199" s="497" t="str">
        <f>IFERROR(IF(B199="","",INDEX('G-6 Hedgerow Data'!$AN$3:$AZ$15,MATCH(C199,'G-6 Hedgerow Data'!$AM$3:$AM$15,0),MATCH(M199,'G-6 Hedgerow Data'!$AN$2:$AZ$2,0))),"")</f>
        <v/>
      </c>
      <c r="O199" s="498" t="str">
        <f t="shared" si="16"/>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7"/>
        <v/>
      </c>
      <c r="AB199" s="520" t="str">
        <f t="shared" si="18"/>
        <v/>
      </c>
      <c r="AC199" s="521" t="str">
        <f t="shared" si="14"/>
        <v/>
      </c>
      <c r="AD199" s="536" t="str">
        <f>IF(M199="","",VLOOKUP(M199,'G-6 Hedgerow Data'!$B$3:$AG$15,31,FALSE))</f>
        <v/>
      </c>
      <c r="AE199" s="506" t="str">
        <f t="shared" si="19"/>
        <v/>
      </c>
      <c r="AF199" s="506" t="str">
        <f t="shared" si="20"/>
        <v/>
      </c>
      <c r="AG199" s="523" t="str">
        <f>IFERROR(IF(O199="","",VLOOKUP(AD199,'G-3 Multipliers'!$P$3:$Q$6,2,FALSE)),"")</f>
        <v/>
      </c>
      <c r="AH199" s="512" t="str">
        <f t="shared" si="15"/>
        <v/>
      </c>
      <c r="AI199" s="230"/>
      <c r="AJ199" s="150"/>
      <c r="AT199" s="31" t="str">
        <f>IFERROR(INDEX('G-6 Hedgerow Data'!$BJ$3:$BJ$15,MATCH(M199,'G-6 Hedgerow Data'!$B$3:$B$15,0)),"")</f>
        <v/>
      </c>
    </row>
    <row r="200" spans="2:46" ht="14.25" x14ac:dyDescent="0.2">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c r="N200" s="497" t="str">
        <f>IFERROR(IF(B200="","",INDEX('G-6 Hedgerow Data'!$AN$3:$AZ$15,MATCH(C200,'G-6 Hedgerow Data'!$AM$3:$AM$15,0),MATCH(M200,'G-6 Hedgerow Data'!$AN$2:$AZ$2,0))),"")</f>
        <v/>
      </c>
      <c r="O200" s="498" t="str">
        <f t="shared" si="16"/>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7"/>
        <v/>
      </c>
      <c r="AB200" s="520" t="str">
        <f t="shared" si="18"/>
        <v/>
      </c>
      <c r="AC200" s="521" t="str">
        <f t="shared" si="14"/>
        <v/>
      </c>
      <c r="AD200" s="536" t="str">
        <f>IF(M200="","",VLOOKUP(M200,'G-6 Hedgerow Data'!$B$3:$AG$15,31,FALSE))</f>
        <v/>
      </c>
      <c r="AE200" s="506" t="str">
        <f t="shared" si="19"/>
        <v/>
      </c>
      <c r="AF200" s="506" t="str">
        <f t="shared" si="20"/>
        <v/>
      </c>
      <c r="AG200" s="523" t="str">
        <f>IFERROR(IF(O200="","",VLOOKUP(AD200,'G-3 Multipliers'!$P$3:$Q$6,2,FALSE)),"")</f>
        <v/>
      </c>
      <c r="AH200" s="512" t="str">
        <f t="shared" si="15"/>
        <v/>
      </c>
      <c r="AI200" s="230"/>
      <c r="AJ200" s="150"/>
      <c r="AT200" s="31" t="str">
        <f>IFERROR(INDEX('G-6 Hedgerow Data'!$BJ$3:$BJ$15,MATCH(M200,'G-6 Hedgerow Data'!$B$3:$B$15,0)),"")</f>
        <v/>
      </c>
    </row>
    <row r="201" spans="2:46" ht="14.25" x14ac:dyDescent="0.2">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c r="N201" s="497" t="str">
        <f>IFERROR(IF(B201="","",INDEX('G-6 Hedgerow Data'!$AN$3:$AZ$15,MATCH(C201,'G-6 Hedgerow Data'!$AM$3:$AM$15,0),MATCH(M201,'G-6 Hedgerow Data'!$AN$2:$AZ$2,0))),"")</f>
        <v/>
      </c>
      <c r="O201" s="498" t="str">
        <f t="shared" si="16"/>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7"/>
        <v/>
      </c>
      <c r="AB201" s="520" t="str">
        <f t="shared" si="18"/>
        <v/>
      </c>
      <c r="AC201" s="521" t="str">
        <f t="shared" si="14"/>
        <v/>
      </c>
      <c r="AD201" s="536" t="str">
        <f>IF(M201="","",VLOOKUP(M201,'G-6 Hedgerow Data'!$B$3:$AG$15,31,FALSE))</f>
        <v/>
      </c>
      <c r="AE201" s="506" t="str">
        <f t="shared" si="19"/>
        <v/>
      </c>
      <c r="AF201" s="506" t="str">
        <f t="shared" si="20"/>
        <v/>
      </c>
      <c r="AG201" s="523" t="str">
        <f>IFERROR(IF(O201="","",VLOOKUP(AD201,'G-3 Multipliers'!$P$3:$Q$6,2,FALSE)),"")</f>
        <v/>
      </c>
      <c r="AH201" s="512" t="str">
        <f t="shared" si="15"/>
        <v/>
      </c>
      <c r="AI201" s="230"/>
      <c r="AJ201" s="150"/>
      <c r="AT201" s="31" t="str">
        <f>IFERROR(INDEX('G-6 Hedgerow Data'!$BJ$3:$BJ$15,MATCH(M201,'G-6 Hedgerow Data'!$B$3:$B$15,0)),"")</f>
        <v/>
      </c>
    </row>
    <row r="202" spans="2:46" ht="14.25" x14ac:dyDescent="0.2">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c r="N202" s="497" t="str">
        <f>IFERROR(IF(B202="","",INDEX('G-6 Hedgerow Data'!$AN$3:$AZ$15,MATCH(C202,'G-6 Hedgerow Data'!$AM$3:$AM$15,0),MATCH(M202,'G-6 Hedgerow Data'!$AN$2:$AZ$2,0))),"")</f>
        <v/>
      </c>
      <c r="O202" s="498" t="str">
        <f t="shared" si="16"/>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7"/>
        <v/>
      </c>
      <c r="AB202" s="520" t="str">
        <f t="shared" si="18"/>
        <v/>
      </c>
      <c r="AC202" s="521" t="str">
        <f t="shared" si="14"/>
        <v/>
      </c>
      <c r="AD202" s="536" t="str">
        <f>IF(M202="","",VLOOKUP(M202,'G-6 Hedgerow Data'!$B$3:$AG$15,31,FALSE))</f>
        <v/>
      </c>
      <c r="AE202" s="506" t="str">
        <f t="shared" si="19"/>
        <v/>
      </c>
      <c r="AF202" s="506" t="str">
        <f t="shared" si="20"/>
        <v/>
      </c>
      <c r="AG202" s="523" t="str">
        <f>IFERROR(IF(O202="","",VLOOKUP(AD202,'G-3 Multipliers'!$P$3:$Q$6,2,FALSE)),"")</f>
        <v/>
      </c>
      <c r="AH202" s="512" t="str">
        <f t="shared" si="15"/>
        <v/>
      </c>
      <c r="AI202" s="230"/>
      <c r="AJ202" s="150"/>
      <c r="AT202" s="31" t="str">
        <f>IFERROR(INDEX('G-6 Hedgerow Data'!$BJ$3:$BJ$15,MATCH(M202,'G-6 Hedgerow Data'!$B$3:$B$15,0)),"")</f>
        <v/>
      </c>
    </row>
    <row r="203" spans="2:46" ht="14.25" x14ac:dyDescent="0.2">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c r="N203" s="497" t="str">
        <f>IFERROR(IF(B203="","",INDEX('G-6 Hedgerow Data'!$AN$3:$AZ$15,MATCH(C203,'G-6 Hedgerow Data'!$AM$3:$AM$15,0),MATCH(M203,'G-6 Hedgerow Data'!$AN$2:$AZ$2,0))),"")</f>
        <v/>
      </c>
      <c r="O203" s="498" t="str">
        <f t="shared" si="16"/>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7"/>
        <v/>
      </c>
      <c r="AB203" s="520" t="str">
        <f t="shared" si="18"/>
        <v/>
      </c>
      <c r="AC203" s="521" t="str">
        <f t="shared" si="14"/>
        <v/>
      </c>
      <c r="AD203" s="536" t="str">
        <f>IF(M203="","",VLOOKUP(M203,'G-6 Hedgerow Data'!$B$3:$AG$15,31,FALSE))</f>
        <v/>
      </c>
      <c r="AE203" s="506" t="str">
        <f t="shared" si="19"/>
        <v/>
      </c>
      <c r="AF203" s="506" t="str">
        <f t="shared" si="20"/>
        <v/>
      </c>
      <c r="AG203" s="523" t="str">
        <f>IFERROR(IF(O203="","",VLOOKUP(AD203,'G-3 Multipliers'!$P$3:$Q$6,2,FALSE)),"")</f>
        <v/>
      </c>
      <c r="AH203" s="512" t="str">
        <f t="shared" si="15"/>
        <v/>
      </c>
      <c r="AI203" s="230"/>
      <c r="AJ203" s="150"/>
      <c r="AT203" s="31" t="str">
        <f>IFERROR(INDEX('G-6 Hedgerow Data'!$BJ$3:$BJ$15,MATCH(M203,'G-6 Hedgerow Data'!$B$3:$B$15,0)),"")</f>
        <v/>
      </c>
    </row>
    <row r="204" spans="2:46" ht="14.25" x14ac:dyDescent="0.2">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c r="N204" s="497" t="str">
        <f>IFERROR(IF(B204="","",INDEX('G-6 Hedgerow Data'!$AN$3:$AZ$15,MATCH(C204,'G-6 Hedgerow Data'!$AM$3:$AM$15,0),MATCH(M204,'G-6 Hedgerow Data'!$AN$2:$AZ$2,0))),"")</f>
        <v/>
      </c>
      <c r="O204" s="498" t="str">
        <f t="shared" si="16"/>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7"/>
        <v/>
      </c>
      <c r="AB204" s="520" t="str">
        <f t="shared" si="18"/>
        <v/>
      </c>
      <c r="AC204" s="521" t="str">
        <f t="shared" ref="AC204:AC257" si="21">IF(OR(S204="",M204=""),"",IF(LEFT(AB204,5)="Error ▲","Check Data ⚠",IF(AB204="Check Data ⚠","Check Data ⚠",VLOOKUP(AB204,TemporalMultipliers,3,FALSE))))</f>
        <v/>
      </c>
      <c r="AD204" s="536" t="str">
        <f>IF(M204="","",VLOOKUP(M204,'G-6 Hedgerow Data'!$B$3:$AG$15,31,FALSE))</f>
        <v/>
      </c>
      <c r="AE204" s="506" t="str">
        <f t="shared" si="19"/>
        <v/>
      </c>
      <c r="AF204" s="506" t="str">
        <f t="shared" si="20"/>
        <v/>
      </c>
      <c r="AG204" s="523" t="str">
        <f>IFERROR(IF(O204="","",VLOOKUP(AD204,'G-3 Multipliers'!$P$3:$Q$6,2,FALSE)),"")</f>
        <v/>
      </c>
      <c r="AH204" s="512" t="str">
        <f t="shared" ref="AH204:AH257" si="22">IFERROR(IF(OR(M204="",S204="",U204=""),"",(((((P204*R204*T204)-(P204*F204*H204))*(AG204*AC204))+(P204*F204*H204))*(W204))),"")</f>
        <v/>
      </c>
      <c r="AI204" s="230"/>
      <c r="AJ204" s="150"/>
      <c r="AT204" s="31" t="str">
        <f>IFERROR(INDEX('G-6 Hedgerow Data'!$BJ$3:$BJ$15,MATCH(M204,'G-6 Hedgerow Data'!$B$3:$B$15,0)),"")</f>
        <v/>
      </c>
    </row>
    <row r="205" spans="2:46" ht="14.25" x14ac:dyDescent="0.2">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c r="N205" s="497" t="str">
        <f>IFERROR(IF(B205="","",INDEX('G-6 Hedgerow Data'!$AN$3:$AZ$15,MATCH(C205,'G-6 Hedgerow Data'!$AM$3:$AM$15,0),MATCH(M205,'G-6 Hedgerow Data'!$AN$2:$AZ$2,0))),"")</f>
        <v/>
      </c>
      <c r="O205" s="498" t="str">
        <f t="shared" ref="O205:O256" si="23">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4">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5">IF(X205="","",IF(AA205="Check Data ⚠","Check Data ⚠",IF(Y205="30+",0,IF(Z205="30+","30+ ⚠",IF(X205+Z205&gt;30,"30+ ⚠",IF(LEFT(AA205,5)="Error ▲","Check Data ⚠",IF(X205+Z205-Y205&gt;0,X205+Z205-Y205,IF(X205-Y205&lt;=0,0,))))))))</f>
        <v/>
      </c>
      <c r="AC205" s="521" t="str">
        <f t="shared" si="21"/>
        <v/>
      </c>
      <c r="AD205" s="536" t="str">
        <f>IF(M205="","",VLOOKUP(M205,'G-6 Hedgerow Data'!$B$3:$AG$15,31,FALSE))</f>
        <v/>
      </c>
      <c r="AE205" s="506" t="str">
        <f t="shared" ref="AE205:AE257" si="26">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27">(IF(AND(AE205="Standard difficulty applied",X205&gt;Y205),AD205,IF(AND(AE205="Low Difficulty - only applicable if all habitat created before losses ⚠",Y205&gt;=X205),"Low",AD205)))</f>
        <v/>
      </c>
      <c r="AG205" s="523" t="str">
        <f>IFERROR(IF(O205="","",VLOOKUP(AD205,'G-3 Multipliers'!$P$3:$Q$6,2,FALSE)),"")</f>
        <v/>
      </c>
      <c r="AH205" s="512" t="str">
        <f t="shared" si="22"/>
        <v/>
      </c>
      <c r="AI205" s="230"/>
      <c r="AJ205" s="150"/>
      <c r="AT205" s="31" t="str">
        <f>IFERROR(INDEX('G-6 Hedgerow Data'!$BJ$3:$BJ$15,MATCH(M205,'G-6 Hedgerow Data'!$B$3:$B$15,0)),"")</f>
        <v/>
      </c>
    </row>
    <row r="206" spans="2:46" ht="14.25" x14ac:dyDescent="0.2">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c r="N206" s="497" t="str">
        <f>IFERROR(IF(B206="","",INDEX('G-6 Hedgerow Data'!$AN$3:$AZ$15,MATCH(C206,'G-6 Hedgerow Data'!$AM$3:$AM$15,0),MATCH(M206,'G-6 Hedgerow Data'!$AN$2:$AZ$2,0))),"")</f>
        <v/>
      </c>
      <c r="O206" s="498" t="str">
        <f t="shared" si="23"/>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4"/>
        <v/>
      </c>
      <c r="AB206" s="520" t="str">
        <f t="shared" si="25"/>
        <v/>
      </c>
      <c r="AC206" s="521" t="str">
        <f t="shared" si="21"/>
        <v/>
      </c>
      <c r="AD206" s="536" t="str">
        <f>IF(M206="","",VLOOKUP(M206,'G-6 Hedgerow Data'!$B$3:$AG$15,31,FALSE))</f>
        <v/>
      </c>
      <c r="AE206" s="506" t="str">
        <f t="shared" si="26"/>
        <v/>
      </c>
      <c r="AF206" s="506" t="str">
        <f t="shared" si="27"/>
        <v/>
      </c>
      <c r="AG206" s="523" t="str">
        <f>IFERROR(IF(O206="","",VLOOKUP(AD206,'G-3 Multipliers'!$P$3:$Q$6,2,FALSE)),"")</f>
        <v/>
      </c>
      <c r="AH206" s="512" t="str">
        <f t="shared" si="22"/>
        <v/>
      </c>
      <c r="AI206" s="230"/>
      <c r="AJ206" s="150"/>
      <c r="AT206" s="31" t="str">
        <f>IFERROR(INDEX('G-6 Hedgerow Data'!$BJ$3:$BJ$15,MATCH(M206,'G-6 Hedgerow Data'!$B$3:$B$15,0)),"")</f>
        <v/>
      </c>
    </row>
    <row r="207" spans="2:46" ht="14.25" x14ac:dyDescent="0.2">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c r="N207" s="497" t="str">
        <f>IFERROR(IF(B207="","",INDEX('G-6 Hedgerow Data'!$AN$3:$AZ$15,MATCH(C207,'G-6 Hedgerow Data'!$AM$3:$AM$15,0),MATCH(M207,'G-6 Hedgerow Data'!$AN$2:$AZ$2,0))),"")</f>
        <v/>
      </c>
      <c r="O207" s="498" t="str">
        <f t="shared" si="23"/>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4"/>
        <v/>
      </c>
      <c r="AB207" s="520" t="str">
        <f t="shared" si="25"/>
        <v/>
      </c>
      <c r="AC207" s="521" t="str">
        <f t="shared" si="21"/>
        <v/>
      </c>
      <c r="AD207" s="536" t="str">
        <f>IF(M207="","",VLOOKUP(M207,'G-6 Hedgerow Data'!$B$3:$AG$15,31,FALSE))</f>
        <v/>
      </c>
      <c r="AE207" s="506" t="str">
        <f t="shared" si="26"/>
        <v/>
      </c>
      <c r="AF207" s="506" t="str">
        <f t="shared" si="27"/>
        <v/>
      </c>
      <c r="AG207" s="523" t="str">
        <f>IFERROR(IF(O207="","",VLOOKUP(AD207,'G-3 Multipliers'!$P$3:$Q$6,2,FALSE)),"")</f>
        <v/>
      </c>
      <c r="AH207" s="512" t="str">
        <f t="shared" si="22"/>
        <v/>
      </c>
      <c r="AI207" s="230"/>
      <c r="AJ207" s="150"/>
      <c r="AT207" s="31" t="str">
        <f>IFERROR(INDEX('G-6 Hedgerow Data'!$BJ$3:$BJ$15,MATCH(M207,'G-6 Hedgerow Data'!$B$3:$B$15,0)),"")</f>
        <v/>
      </c>
    </row>
    <row r="208" spans="2:46" ht="14.25" x14ac:dyDescent="0.2">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c r="N208" s="497" t="str">
        <f>IFERROR(IF(B208="","",INDEX('G-6 Hedgerow Data'!$AN$3:$AZ$15,MATCH(C208,'G-6 Hedgerow Data'!$AM$3:$AM$15,0),MATCH(M208,'G-6 Hedgerow Data'!$AN$2:$AZ$2,0))),"")</f>
        <v/>
      </c>
      <c r="O208" s="498" t="str">
        <f t="shared" si="23"/>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4"/>
        <v/>
      </c>
      <c r="AB208" s="520" t="str">
        <f t="shared" si="25"/>
        <v/>
      </c>
      <c r="AC208" s="521" t="str">
        <f t="shared" si="21"/>
        <v/>
      </c>
      <c r="AD208" s="536" t="str">
        <f>IF(M208="","",VLOOKUP(M208,'G-6 Hedgerow Data'!$B$3:$AG$15,31,FALSE))</f>
        <v/>
      </c>
      <c r="AE208" s="506" t="str">
        <f t="shared" si="26"/>
        <v/>
      </c>
      <c r="AF208" s="506" t="str">
        <f t="shared" si="27"/>
        <v/>
      </c>
      <c r="AG208" s="523" t="str">
        <f>IFERROR(IF(O208="","",VLOOKUP(AD208,'G-3 Multipliers'!$P$3:$Q$6,2,FALSE)),"")</f>
        <v/>
      </c>
      <c r="AH208" s="512" t="str">
        <f t="shared" si="22"/>
        <v/>
      </c>
      <c r="AI208" s="230"/>
      <c r="AJ208" s="150"/>
      <c r="AT208" s="31" t="str">
        <f>IFERROR(INDEX('G-6 Hedgerow Data'!$BJ$3:$BJ$15,MATCH(M208,'G-6 Hedgerow Data'!$B$3:$B$15,0)),"")</f>
        <v/>
      </c>
    </row>
    <row r="209" spans="2:46" ht="14.25" x14ac:dyDescent="0.2">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c r="N209" s="497" t="str">
        <f>IFERROR(IF(B209="","",INDEX('G-6 Hedgerow Data'!$AN$3:$AZ$15,MATCH(C209,'G-6 Hedgerow Data'!$AM$3:$AM$15,0),MATCH(M209,'G-6 Hedgerow Data'!$AN$2:$AZ$2,0))),"")</f>
        <v/>
      </c>
      <c r="O209" s="498" t="str">
        <f t="shared" si="23"/>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4"/>
        <v/>
      </c>
      <c r="AB209" s="520" t="str">
        <f t="shared" si="25"/>
        <v/>
      </c>
      <c r="AC209" s="521" t="str">
        <f t="shared" si="21"/>
        <v/>
      </c>
      <c r="AD209" s="536" t="str">
        <f>IF(M209="","",VLOOKUP(M209,'G-6 Hedgerow Data'!$B$3:$AG$15,31,FALSE))</f>
        <v/>
      </c>
      <c r="AE209" s="506" t="str">
        <f t="shared" si="26"/>
        <v/>
      </c>
      <c r="AF209" s="506" t="str">
        <f t="shared" si="27"/>
        <v/>
      </c>
      <c r="AG209" s="523" t="str">
        <f>IFERROR(IF(O209="","",VLOOKUP(AD209,'G-3 Multipliers'!$P$3:$Q$6,2,FALSE)),"")</f>
        <v/>
      </c>
      <c r="AH209" s="512" t="str">
        <f t="shared" si="22"/>
        <v/>
      </c>
      <c r="AI209" s="230"/>
      <c r="AJ209" s="150"/>
      <c r="AT209" s="31" t="str">
        <f>IFERROR(INDEX('G-6 Hedgerow Data'!$BJ$3:$BJ$15,MATCH(M209,'G-6 Hedgerow Data'!$B$3:$B$15,0)),"")</f>
        <v/>
      </c>
    </row>
    <row r="210" spans="2:46" ht="14.25" x14ac:dyDescent="0.2">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c r="N210" s="497" t="str">
        <f>IFERROR(IF(B210="","",INDEX('G-6 Hedgerow Data'!$AN$3:$AZ$15,MATCH(C210,'G-6 Hedgerow Data'!$AM$3:$AM$15,0),MATCH(M210,'G-6 Hedgerow Data'!$AN$2:$AZ$2,0))),"")</f>
        <v/>
      </c>
      <c r="O210" s="498" t="str">
        <f t="shared" si="23"/>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4"/>
        <v/>
      </c>
      <c r="AB210" s="520" t="str">
        <f t="shared" si="25"/>
        <v/>
      </c>
      <c r="AC210" s="521" t="str">
        <f t="shared" si="21"/>
        <v/>
      </c>
      <c r="AD210" s="536" t="str">
        <f>IF(M210="","",VLOOKUP(M210,'G-6 Hedgerow Data'!$B$3:$AG$15,31,FALSE))</f>
        <v/>
      </c>
      <c r="AE210" s="506" t="str">
        <f t="shared" si="26"/>
        <v/>
      </c>
      <c r="AF210" s="506" t="str">
        <f t="shared" si="27"/>
        <v/>
      </c>
      <c r="AG210" s="523" t="str">
        <f>IFERROR(IF(O210="","",VLOOKUP(AD210,'G-3 Multipliers'!$P$3:$Q$6,2,FALSE)),"")</f>
        <v/>
      </c>
      <c r="AH210" s="512" t="str">
        <f t="shared" si="22"/>
        <v/>
      </c>
      <c r="AI210" s="230"/>
      <c r="AJ210" s="150"/>
      <c r="AT210" s="31" t="str">
        <f>IFERROR(INDEX('G-6 Hedgerow Data'!$BJ$3:$BJ$15,MATCH(M210,'G-6 Hedgerow Data'!$B$3:$B$15,0)),"")</f>
        <v/>
      </c>
    </row>
    <row r="211" spans="2:46" ht="14.25" x14ac:dyDescent="0.2">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c r="N211" s="497" t="str">
        <f>IFERROR(IF(B211="","",INDEX('G-6 Hedgerow Data'!$AN$3:$AZ$15,MATCH(C211,'G-6 Hedgerow Data'!$AM$3:$AM$15,0),MATCH(M211,'G-6 Hedgerow Data'!$AN$2:$AZ$2,0))),"")</f>
        <v/>
      </c>
      <c r="O211" s="498" t="str">
        <f t="shared" si="23"/>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4"/>
        <v/>
      </c>
      <c r="AB211" s="520" t="str">
        <f t="shared" si="25"/>
        <v/>
      </c>
      <c r="AC211" s="521" t="str">
        <f t="shared" si="21"/>
        <v/>
      </c>
      <c r="AD211" s="536" t="str">
        <f>IF(M211="","",VLOOKUP(M211,'G-6 Hedgerow Data'!$B$3:$AG$15,31,FALSE))</f>
        <v/>
      </c>
      <c r="AE211" s="506" t="str">
        <f t="shared" si="26"/>
        <v/>
      </c>
      <c r="AF211" s="506" t="str">
        <f t="shared" si="27"/>
        <v/>
      </c>
      <c r="AG211" s="523" t="str">
        <f>IFERROR(IF(O211="","",VLOOKUP(AD211,'G-3 Multipliers'!$P$3:$Q$6,2,FALSE)),"")</f>
        <v/>
      </c>
      <c r="AH211" s="512" t="str">
        <f t="shared" si="22"/>
        <v/>
      </c>
      <c r="AI211" s="230"/>
      <c r="AJ211" s="150"/>
      <c r="AT211" s="31" t="str">
        <f>IFERROR(INDEX('G-6 Hedgerow Data'!$BJ$3:$BJ$15,MATCH(M211,'G-6 Hedgerow Data'!$B$3:$B$15,0)),"")</f>
        <v/>
      </c>
    </row>
    <row r="212" spans="2:46" ht="14.25" x14ac:dyDescent="0.2">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c r="N212" s="497" t="str">
        <f>IFERROR(IF(B212="","",INDEX('G-6 Hedgerow Data'!$AN$3:$AZ$15,MATCH(C212,'G-6 Hedgerow Data'!$AM$3:$AM$15,0),MATCH(M212,'G-6 Hedgerow Data'!$AN$2:$AZ$2,0))),"")</f>
        <v/>
      </c>
      <c r="O212" s="498" t="str">
        <f t="shared" si="23"/>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4"/>
        <v/>
      </c>
      <c r="AB212" s="520" t="str">
        <f t="shared" si="25"/>
        <v/>
      </c>
      <c r="AC212" s="521" t="str">
        <f t="shared" si="21"/>
        <v/>
      </c>
      <c r="AD212" s="536" t="str">
        <f>IF(M212="","",VLOOKUP(M212,'G-6 Hedgerow Data'!$B$3:$AG$15,31,FALSE))</f>
        <v/>
      </c>
      <c r="AE212" s="506" t="str">
        <f t="shared" si="26"/>
        <v/>
      </c>
      <c r="AF212" s="506" t="str">
        <f t="shared" si="27"/>
        <v/>
      </c>
      <c r="AG212" s="523" t="str">
        <f>IFERROR(IF(O212="","",VLOOKUP(AD212,'G-3 Multipliers'!$P$3:$Q$6,2,FALSE)),"")</f>
        <v/>
      </c>
      <c r="AH212" s="512" t="str">
        <f t="shared" si="22"/>
        <v/>
      </c>
      <c r="AI212" s="230"/>
      <c r="AJ212" s="150"/>
      <c r="AT212" s="31" t="str">
        <f>IFERROR(INDEX('G-6 Hedgerow Data'!$BJ$3:$BJ$15,MATCH(M212,'G-6 Hedgerow Data'!$B$3:$B$15,0)),"")</f>
        <v/>
      </c>
    </row>
    <row r="213" spans="2:46" ht="14.25" x14ac:dyDescent="0.2">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c r="N213" s="497" t="str">
        <f>IFERROR(IF(B213="","",INDEX('G-6 Hedgerow Data'!$AN$3:$AZ$15,MATCH(C213,'G-6 Hedgerow Data'!$AM$3:$AM$15,0),MATCH(M213,'G-6 Hedgerow Data'!$AN$2:$AZ$2,0))),"")</f>
        <v/>
      </c>
      <c r="O213" s="498" t="str">
        <f t="shared" si="23"/>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4"/>
        <v/>
      </c>
      <c r="AB213" s="520" t="str">
        <f t="shared" si="25"/>
        <v/>
      </c>
      <c r="AC213" s="521" t="str">
        <f t="shared" si="21"/>
        <v/>
      </c>
      <c r="AD213" s="536" t="str">
        <f>IF(M213="","",VLOOKUP(M213,'G-6 Hedgerow Data'!$B$3:$AG$15,31,FALSE))</f>
        <v/>
      </c>
      <c r="AE213" s="506" t="str">
        <f t="shared" si="26"/>
        <v/>
      </c>
      <c r="AF213" s="506" t="str">
        <f t="shared" si="27"/>
        <v/>
      </c>
      <c r="AG213" s="523" t="str">
        <f>IFERROR(IF(O213="","",VLOOKUP(AD213,'G-3 Multipliers'!$P$3:$Q$6,2,FALSE)),"")</f>
        <v/>
      </c>
      <c r="AH213" s="512" t="str">
        <f t="shared" si="22"/>
        <v/>
      </c>
      <c r="AI213" s="230"/>
      <c r="AJ213" s="150"/>
      <c r="AT213" s="31" t="str">
        <f>IFERROR(INDEX('G-6 Hedgerow Data'!$BJ$3:$BJ$15,MATCH(M213,'G-6 Hedgerow Data'!$B$3:$B$15,0)),"")</f>
        <v/>
      </c>
    </row>
    <row r="214" spans="2:46" ht="14.25" x14ac:dyDescent="0.2">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c r="N214" s="497" t="str">
        <f>IFERROR(IF(B214="","",INDEX('G-6 Hedgerow Data'!$AN$3:$AZ$15,MATCH(C214,'G-6 Hedgerow Data'!$AM$3:$AM$15,0),MATCH(M214,'G-6 Hedgerow Data'!$AN$2:$AZ$2,0))),"")</f>
        <v/>
      </c>
      <c r="O214" s="498" t="str">
        <f t="shared" si="23"/>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4"/>
        <v/>
      </c>
      <c r="AB214" s="520" t="str">
        <f t="shared" si="25"/>
        <v/>
      </c>
      <c r="AC214" s="521" t="str">
        <f t="shared" si="21"/>
        <v/>
      </c>
      <c r="AD214" s="536" t="str">
        <f>IF(M214="","",VLOOKUP(M214,'G-6 Hedgerow Data'!$B$3:$AG$15,31,FALSE))</f>
        <v/>
      </c>
      <c r="AE214" s="506" t="str">
        <f t="shared" si="26"/>
        <v/>
      </c>
      <c r="AF214" s="506" t="str">
        <f t="shared" si="27"/>
        <v/>
      </c>
      <c r="AG214" s="523" t="str">
        <f>IFERROR(IF(O214="","",VLOOKUP(AD214,'G-3 Multipliers'!$P$3:$Q$6,2,FALSE)),"")</f>
        <v/>
      </c>
      <c r="AH214" s="512" t="str">
        <f t="shared" si="22"/>
        <v/>
      </c>
      <c r="AI214" s="230"/>
      <c r="AJ214" s="150"/>
      <c r="AT214" s="31" t="str">
        <f>IFERROR(INDEX('G-6 Hedgerow Data'!$BJ$3:$BJ$15,MATCH(M214,'G-6 Hedgerow Data'!$B$3:$B$15,0)),"")</f>
        <v/>
      </c>
    </row>
    <row r="215" spans="2:46" ht="14.25" x14ac:dyDescent="0.2">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c r="N215" s="497" t="str">
        <f>IFERROR(IF(B215="","",INDEX('G-6 Hedgerow Data'!$AN$3:$AZ$15,MATCH(C215,'G-6 Hedgerow Data'!$AM$3:$AM$15,0),MATCH(M215,'G-6 Hedgerow Data'!$AN$2:$AZ$2,0))),"")</f>
        <v/>
      </c>
      <c r="O215" s="498" t="str">
        <f t="shared" si="23"/>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4"/>
        <v/>
      </c>
      <c r="AB215" s="520" t="str">
        <f t="shared" si="25"/>
        <v/>
      </c>
      <c r="AC215" s="521" t="str">
        <f t="shared" si="21"/>
        <v/>
      </c>
      <c r="AD215" s="536" t="str">
        <f>IF(M215="","",VLOOKUP(M215,'G-6 Hedgerow Data'!$B$3:$AG$15,31,FALSE))</f>
        <v/>
      </c>
      <c r="AE215" s="506" t="str">
        <f t="shared" si="26"/>
        <v/>
      </c>
      <c r="AF215" s="506" t="str">
        <f t="shared" si="27"/>
        <v/>
      </c>
      <c r="AG215" s="523" t="str">
        <f>IFERROR(IF(O215="","",VLOOKUP(AD215,'G-3 Multipliers'!$P$3:$Q$6,2,FALSE)),"")</f>
        <v/>
      </c>
      <c r="AH215" s="512" t="str">
        <f t="shared" si="22"/>
        <v/>
      </c>
      <c r="AI215" s="230"/>
      <c r="AJ215" s="150"/>
      <c r="AT215" s="31" t="str">
        <f>IFERROR(INDEX('G-6 Hedgerow Data'!$BJ$3:$BJ$15,MATCH(M215,'G-6 Hedgerow Data'!$B$3:$B$15,0)),"")</f>
        <v/>
      </c>
    </row>
    <row r="216" spans="2:46" ht="14.25" x14ac:dyDescent="0.2">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c r="N216" s="497" t="str">
        <f>IFERROR(IF(B216="","",INDEX('G-6 Hedgerow Data'!$AN$3:$AZ$15,MATCH(C216,'G-6 Hedgerow Data'!$AM$3:$AM$15,0),MATCH(M216,'G-6 Hedgerow Data'!$AN$2:$AZ$2,0))),"")</f>
        <v/>
      </c>
      <c r="O216" s="498" t="str">
        <f t="shared" si="23"/>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4"/>
        <v/>
      </c>
      <c r="AB216" s="520" t="str">
        <f t="shared" si="25"/>
        <v/>
      </c>
      <c r="AC216" s="521" t="str">
        <f t="shared" si="21"/>
        <v/>
      </c>
      <c r="AD216" s="536" t="str">
        <f>IF(M216="","",VLOOKUP(M216,'G-6 Hedgerow Data'!$B$3:$AG$15,31,FALSE))</f>
        <v/>
      </c>
      <c r="AE216" s="506" t="str">
        <f t="shared" si="26"/>
        <v/>
      </c>
      <c r="AF216" s="506" t="str">
        <f t="shared" si="27"/>
        <v/>
      </c>
      <c r="AG216" s="523" t="str">
        <f>IFERROR(IF(O216="","",VLOOKUP(AD216,'G-3 Multipliers'!$P$3:$Q$6,2,FALSE)),"")</f>
        <v/>
      </c>
      <c r="AH216" s="512" t="str">
        <f t="shared" si="22"/>
        <v/>
      </c>
      <c r="AI216" s="230"/>
      <c r="AJ216" s="150"/>
      <c r="AT216" s="31" t="str">
        <f>IFERROR(INDEX('G-6 Hedgerow Data'!$BJ$3:$BJ$15,MATCH(M216,'G-6 Hedgerow Data'!$B$3:$B$15,0)),"")</f>
        <v/>
      </c>
    </row>
    <row r="217" spans="2:46" ht="14.25" x14ac:dyDescent="0.2">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c r="N217" s="497" t="str">
        <f>IFERROR(IF(B217="","",INDEX('G-6 Hedgerow Data'!$AN$3:$AZ$15,MATCH(C217,'G-6 Hedgerow Data'!$AM$3:$AM$15,0),MATCH(M217,'G-6 Hedgerow Data'!$AN$2:$AZ$2,0))),"")</f>
        <v/>
      </c>
      <c r="O217" s="498" t="str">
        <f t="shared" si="23"/>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4"/>
        <v/>
      </c>
      <c r="AB217" s="520" t="str">
        <f t="shared" si="25"/>
        <v/>
      </c>
      <c r="AC217" s="521" t="str">
        <f t="shared" si="21"/>
        <v/>
      </c>
      <c r="AD217" s="536" t="str">
        <f>IF(M217="","",VLOOKUP(M217,'G-6 Hedgerow Data'!$B$3:$AG$15,31,FALSE))</f>
        <v/>
      </c>
      <c r="AE217" s="506" t="str">
        <f t="shared" si="26"/>
        <v/>
      </c>
      <c r="AF217" s="506" t="str">
        <f t="shared" si="27"/>
        <v/>
      </c>
      <c r="AG217" s="523" t="str">
        <f>IFERROR(IF(O217="","",VLOOKUP(AD217,'G-3 Multipliers'!$P$3:$Q$6,2,FALSE)),"")</f>
        <v/>
      </c>
      <c r="AH217" s="512" t="str">
        <f t="shared" si="22"/>
        <v/>
      </c>
      <c r="AI217" s="230"/>
      <c r="AJ217" s="150"/>
      <c r="AT217" s="31" t="str">
        <f>IFERROR(INDEX('G-6 Hedgerow Data'!$BJ$3:$BJ$15,MATCH(M217,'G-6 Hedgerow Data'!$B$3:$B$15,0)),"")</f>
        <v/>
      </c>
    </row>
    <row r="218" spans="2:46" ht="14.25" x14ac:dyDescent="0.2">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c r="N218" s="497" t="str">
        <f>IFERROR(IF(B218="","",INDEX('G-6 Hedgerow Data'!$AN$3:$AZ$15,MATCH(C218,'G-6 Hedgerow Data'!$AM$3:$AM$15,0),MATCH(M218,'G-6 Hedgerow Data'!$AN$2:$AZ$2,0))),"")</f>
        <v/>
      </c>
      <c r="O218" s="498" t="str">
        <f t="shared" si="23"/>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4"/>
        <v/>
      </c>
      <c r="AB218" s="520" t="str">
        <f t="shared" si="25"/>
        <v/>
      </c>
      <c r="AC218" s="521" t="str">
        <f t="shared" si="21"/>
        <v/>
      </c>
      <c r="AD218" s="536" t="str">
        <f>IF(M218="","",VLOOKUP(M218,'G-6 Hedgerow Data'!$B$3:$AG$15,31,FALSE))</f>
        <v/>
      </c>
      <c r="AE218" s="506" t="str">
        <f t="shared" si="26"/>
        <v/>
      </c>
      <c r="AF218" s="506" t="str">
        <f t="shared" si="27"/>
        <v/>
      </c>
      <c r="AG218" s="523" t="str">
        <f>IFERROR(IF(O218="","",VLOOKUP(AD218,'G-3 Multipliers'!$P$3:$Q$6,2,FALSE)),"")</f>
        <v/>
      </c>
      <c r="AH218" s="512" t="str">
        <f t="shared" si="22"/>
        <v/>
      </c>
      <c r="AI218" s="230"/>
      <c r="AJ218" s="150"/>
      <c r="AT218" s="31" t="str">
        <f>IFERROR(INDEX('G-6 Hedgerow Data'!$BJ$3:$BJ$15,MATCH(M218,'G-6 Hedgerow Data'!$B$3:$B$15,0)),"")</f>
        <v/>
      </c>
    </row>
    <row r="219" spans="2:46" ht="14.25" x14ac:dyDescent="0.2">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c r="N219" s="497" t="str">
        <f>IFERROR(IF(B219="","",INDEX('G-6 Hedgerow Data'!$AN$3:$AZ$15,MATCH(C219,'G-6 Hedgerow Data'!$AM$3:$AM$15,0),MATCH(M219,'G-6 Hedgerow Data'!$AN$2:$AZ$2,0))),"")</f>
        <v/>
      </c>
      <c r="O219" s="498" t="str">
        <f t="shared" si="23"/>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4"/>
        <v/>
      </c>
      <c r="AB219" s="520" t="str">
        <f t="shared" si="25"/>
        <v/>
      </c>
      <c r="AC219" s="521" t="str">
        <f t="shared" si="21"/>
        <v/>
      </c>
      <c r="AD219" s="536" t="str">
        <f>IF(M219="","",VLOOKUP(M219,'G-6 Hedgerow Data'!$B$3:$AG$15,31,FALSE))</f>
        <v/>
      </c>
      <c r="AE219" s="506" t="str">
        <f t="shared" si="26"/>
        <v/>
      </c>
      <c r="AF219" s="506" t="str">
        <f t="shared" si="27"/>
        <v/>
      </c>
      <c r="AG219" s="523" t="str">
        <f>IFERROR(IF(O219="","",VLOOKUP(AD219,'G-3 Multipliers'!$P$3:$Q$6,2,FALSE)),"")</f>
        <v/>
      </c>
      <c r="AH219" s="512" t="str">
        <f t="shared" si="22"/>
        <v/>
      </c>
      <c r="AI219" s="230"/>
      <c r="AJ219" s="150"/>
      <c r="AT219" s="31" t="str">
        <f>IFERROR(INDEX('G-6 Hedgerow Data'!$BJ$3:$BJ$15,MATCH(M219,'G-6 Hedgerow Data'!$B$3:$B$15,0)),"")</f>
        <v/>
      </c>
    </row>
    <row r="220" spans="2:46" ht="14.25" x14ac:dyDescent="0.2">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c r="N220" s="497" t="str">
        <f>IFERROR(IF(B220="","",INDEX('G-6 Hedgerow Data'!$AN$3:$AZ$15,MATCH(C220,'G-6 Hedgerow Data'!$AM$3:$AM$15,0),MATCH(M220,'G-6 Hedgerow Data'!$AN$2:$AZ$2,0))),"")</f>
        <v/>
      </c>
      <c r="O220" s="498" t="str">
        <f t="shared" si="23"/>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4"/>
        <v/>
      </c>
      <c r="AB220" s="520" t="str">
        <f t="shared" si="25"/>
        <v/>
      </c>
      <c r="AC220" s="521" t="str">
        <f t="shared" si="21"/>
        <v/>
      </c>
      <c r="AD220" s="536" t="str">
        <f>IF(M220="","",VLOOKUP(M220,'G-6 Hedgerow Data'!$B$3:$AG$15,31,FALSE))</f>
        <v/>
      </c>
      <c r="AE220" s="506" t="str">
        <f t="shared" si="26"/>
        <v/>
      </c>
      <c r="AF220" s="506" t="str">
        <f t="shared" si="27"/>
        <v/>
      </c>
      <c r="AG220" s="523" t="str">
        <f>IFERROR(IF(O220="","",VLOOKUP(AD220,'G-3 Multipliers'!$P$3:$Q$6,2,FALSE)),"")</f>
        <v/>
      </c>
      <c r="AH220" s="512" t="str">
        <f t="shared" si="22"/>
        <v/>
      </c>
      <c r="AI220" s="230"/>
      <c r="AJ220" s="150"/>
      <c r="AT220" s="31" t="str">
        <f>IFERROR(INDEX('G-6 Hedgerow Data'!$BJ$3:$BJ$15,MATCH(M220,'G-6 Hedgerow Data'!$B$3:$B$15,0)),"")</f>
        <v/>
      </c>
    </row>
    <row r="221" spans="2:46" ht="14.25" x14ac:dyDescent="0.2">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c r="N221" s="497" t="str">
        <f>IFERROR(IF(B221="","",INDEX('G-6 Hedgerow Data'!$AN$3:$AZ$15,MATCH(C221,'G-6 Hedgerow Data'!$AM$3:$AM$15,0),MATCH(M221,'G-6 Hedgerow Data'!$AN$2:$AZ$2,0))),"")</f>
        <v/>
      </c>
      <c r="O221" s="498" t="str">
        <f t="shared" si="23"/>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4"/>
        <v/>
      </c>
      <c r="AB221" s="520" t="str">
        <f t="shared" si="25"/>
        <v/>
      </c>
      <c r="AC221" s="521" t="str">
        <f t="shared" si="21"/>
        <v/>
      </c>
      <c r="AD221" s="536" t="str">
        <f>IF(M221="","",VLOOKUP(M221,'G-6 Hedgerow Data'!$B$3:$AG$15,31,FALSE))</f>
        <v/>
      </c>
      <c r="AE221" s="506" t="str">
        <f t="shared" si="26"/>
        <v/>
      </c>
      <c r="AF221" s="506" t="str">
        <f t="shared" si="27"/>
        <v/>
      </c>
      <c r="AG221" s="523" t="str">
        <f>IFERROR(IF(O221="","",VLOOKUP(AD221,'G-3 Multipliers'!$P$3:$Q$6,2,FALSE)),"")</f>
        <v/>
      </c>
      <c r="AH221" s="512" t="str">
        <f t="shared" si="22"/>
        <v/>
      </c>
      <c r="AI221" s="230"/>
      <c r="AJ221" s="150"/>
      <c r="AT221" s="31" t="str">
        <f>IFERROR(INDEX('G-6 Hedgerow Data'!$BJ$3:$BJ$15,MATCH(M221,'G-6 Hedgerow Data'!$B$3:$B$15,0)),"")</f>
        <v/>
      </c>
    </row>
    <row r="222" spans="2:46" ht="14.25" x14ac:dyDescent="0.2">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c r="N222" s="497" t="str">
        <f>IFERROR(IF(B222="","",INDEX('G-6 Hedgerow Data'!$AN$3:$AZ$15,MATCH(C222,'G-6 Hedgerow Data'!$AM$3:$AM$15,0),MATCH(M222,'G-6 Hedgerow Data'!$AN$2:$AZ$2,0))),"")</f>
        <v/>
      </c>
      <c r="O222" s="498" t="str">
        <f t="shared" si="23"/>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4"/>
        <v/>
      </c>
      <c r="AB222" s="520" t="str">
        <f t="shared" si="25"/>
        <v/>
      </c>
      <c r="AC222" s="521" t="str">
        <f t="shared" si="21"/>
        <v/>
      </c>
      <c r="AD222" s="536" t="str">
        <f>IF(M222="","",VLOOKUP(M222,'G-6 Hedgerow Data'!$B$3:$AG$15,31,FALSE))</f>
        <v/>
      </c>
      <c r="AE222" s="506" t="str">
        <f t="shared" si="26"/>
        <v/>
      </c>
      <c r="AF222" s="506" t="str">
        <f t="shared" si="27"/>
        <v/>
      </c>
      <c r="AG222" s="523" t="str">
        <f>IFERROR(IF(O222="","",VLOOKUP(AD222,'G-3 Multipliers'!$P$3:$Q$6,2,FALSE)),"")</f>
        <v/>
      </c>
      <c r="AH222" s="512" t="str">
        <f t="shared" si="22"/>
        <v/>
      </c>
      <c r="AI222" s="230"/>
      <c r="AJ222" s="150"/>
      <c r="AT222" s="31" t="str">
        <f>IFERROR(INDEX('G-6 Hedgerow Data'!$BJ$3:$BJ$15,MATCH(M222,'G-6 Hedgerow Data'!$B$3:$B$15,0)),"")</f>
        <v/>
      </c>
    </row>
    <row r="223" spans="2:46" ht="14.25" x14ac:dyDescent="0.2">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c r="N223" s="497" t="str">
        <f>IFERROR(IF(B223="","",INDEX('G-6 Hedgerow Data'!$AN$3:$AZ$15,MATCH(C223,'G-6 Hedgerow Data'!$AM$3:$AM$15,0),MATCH(M223,'G-6 Hedgerow Data'!$AN$2:$AZ$2,0))),"")</f>
        <v/>
      </c>
      <c r="O223" s="498" t="str">
        <f t="shared" si="23"/>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4"/>
        <v/>
      </c>
      <c r="AB223" s="520" t="str">
        <f t="shared" si="25"/>
        <v/>
      </c>
      <c r="AC223" s="521" t="str">
        <f t="shared" si="21"/>
        <v/>
      </c>
      <c r="AD223" s="536" t="str">
        <f>IF(M223="","",VLOOKUP(M223,'G-6 Hedgerow Data'!$B$3:$AG$15,31,FALSE))</f>
        <v/>
      </c>
      <c r="AE223" s="506" t="str">
        <f t="shared" si="26"/>
        <v/>
      </c>
      <c r="AF223" s="506" t="str">
        <f t="shared" si="27"/>
        <v/>
      </c>
      <c r="AG223" s="523" t="str">
        <f>IFERROR(IF(O223="","",VLOOKUP(AD223,'G-3 Multipliers'!$P$3:$Q$6,2,FALSE)),"")</f>
        <v/>
      </c>
      <c r="AH223" s="512" t="str">
        <f t="shared" si="22"/>
        <v/>
      </c>
      <c r="AI223" s="230"/>
      <c r="AJ223" s="150"/>
      <c r="AT223" s="31" t="str">
        <f>IFERROR(INDEX('G-6 Hedgerow Data'!$BJ$3:$BJ$15,MATCH(M223,'G-6 Hedgerow Data'!$B$3:$B$15,0)),"")</f>
        <v/>
      </c>
    </row>
    <row r="224" spans="2:46" ht="14.25" x14ac:dyDescent="0.2">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c r="N224" s="497" t="str">
        <f>IFERROR(IF(B224="","",INDEX('G-6 Hedgerow Data'!$AN$3:$AZ$15,MATCH(C224,'G-6 Hedgerow Data'!$AM$3:$AM$15,0),MATCH(M224,'G-6 Hedgerow Data'!$AN$2:$AZ$2,0))),"")</f>
        <v/>
      </c>
      <c r="O224" s="498" t="str">
        <f t="shared" si="23"/>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4"/>
        <v/>
      </c>
      <c r="AB224" s="520" t="str">
        <f t="shared" si="25"/>
        <v/>
      </c>
      <c r="AC224" s="521" t="str">
        <f t="shared" si="21"/>
        <v/>
      </c>
      <c r="AD224" s="536" t="str">
        <f>IF(M224="","",VLOOKUP(M224,'G-6 Hedgerow Data'!$B$3:$AG$15,31,FALSE))</f>
        <v/>
      </c>
      <c r="AE224" s="506" t="str">
        <f t="shared" si="26"/>
        <v/>
      </c>
      <c r="AF224" s="506" t="str">
        <f t="shared" si="27"/>
        <v/>
      </c>
      <c r="AG224" s="523" t="str">
        <f>IFERROR(IF(O224="","",VLOOKUP(AD224,'G-3 Multipliers'!$P$3:$Q$6,2,FALSE)),"")</f>
        <v/>
      </c>
      <c r="AH224" s="512" t="str">
        <f t="shared" si="22"/>
        <v/>
      </c>
      <c r="AI224" s="230"/>
      <c r="AJ224" s="150"/>
      <c r="AT224" s="31" t="str">
        <f>IFERROR(INDEX('G-6 Hedgerow Data'!$BJ$3:$BJ$15,MATCH(M224,'G-6 Hedgerow Data'!$B$3:$B$15,0)),"")</f>
        <v/>
      </c>
    </row>
    <row r="225" spans="2:46" ht="14.25" x14ac:dyDescent="0.2">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c r="N225" s="497" t="str">
        <f>IFERROR(IF(B225="","",INDEX('G-6 Hedgerow Data'!$AN$3:$AZ$15,MATCH(C225,'G-6 Hedgerow Data'!$AM$3:$AM$15,0),MATCH(M225,'G-6 Hedgerow Data'!$AN$2:$AZ$2,0))),"")</f>
        <v/>
      </c>
      <c r="O225" s="498" t="str">
        <f t="shared" si="23"/>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4"/>
        <v/>
      </c>
      <c r="AB225" s="520" t="str">
        <f t="shared" si="25"/>
        <v/>
      </c>
      <c r="AC225" s="521" t="str">
        <f t="shared" si="21"/>
        <v/>
      </c>
      <c r="AD225" s="536" t="str">
        <f>IF(M225="","",VLOOKUP(M225,'G-6 Hedgerow Data'!$B$3:$AG$15,31,FALSE))</f>
        <v/>
      </c>
      <c r="AE225" s="506" t="str">
        <f t="shared" si="26"/>
        <v/>
      </c>
      <c r="AF225" s="506" t="str">
        <f t="shared" si="27"/>
        <v/>
      </c>
      <c r="AG225" s="523" t="str">
        <f>IFERROR(IF(O225="","",VLOOKUP(AD225,'G-3 Multipliers'!$P$3:$Q$6,2,FALSE)),"")</f>
        <v/>
      </c>
      <c r="AH225" s="512" t="str">
        <f t="shared" si="22"/>
        <v/>
      </c>
      <c r="AI225" s="230"/>
      <c r="AJ225" s="150"/>
      <c r="AT225" s="31" t="str">
        <f>IFERROR(INDEX('G-6 Hedgerow Data'!$BJ$3:$BJ$15,MATCH(M225,'G-6 Hedgerow Data'!$B$3:$B$15,0)),"")</f>
        <v/>
      </c>
    </row>
    <row r="226" spans="2:46" ht="14.25" x14ac:dyDescent="0.2">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c r="N226" s="497" t="str">
        <f>IFERROR(IF(B226="","",INDEX('G-6 Hedgerow Data'!$AN$3:$AZ$15,MATCH(C226,'G-6 Hedgerow Data'!$AM$3:$AM$15,0),MATCH(M226,'G-6 Hedgerow Data'!$AN$2:$AZ$2,0))),"")</f>
        <v/>
      </c>
      <c r="O226" s="498" t="str">
        <f t="shared" si="23"/>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4"/>
        <v/>
      </c>
      <c r="AB226" s="520" t="str">
        <f t="shared" si="25"/>
        <v/>
      </c>
      <c r="AC226" s="521" t="str">
        <f t="shared" si="21"/>
        <v/>
      </c>
      <c r="AD226" s="536" t="str">
        <f>IF(M226="","",VLOOKUP(M226,'G-6 Hedgerow Data'!$B$3:$AG$15,31,FALSE))</f>
        <v/>
      </c>
      <c r="AE226" s="506" t="str">
        <f t="shared" si="26"/>
        <v/>
      </c>
      <c r="AF226" s="506" t="str">
        <f t="shared" si="27"/>
        <v/>
      </c>
      <c r="AG226" s="523" t="str">
        <f>IFERROR(IF(O226="","",VLOOKUP(AD226,'G-3 Multipliers'!$P$3:$Q$6,2,FALSE)),"")</f>
        <v/>
      </c>
      <c r="AH226" s="512" t="str">
        <f t="shared" si="22"/>
        <v/>
      </c>
      <c r="AI226" s="230"/>
      <c r="AJ226" s="150"/>
      <c r="AT226" s="31" t="str">
        <f>IFERROR(INDEX('G-6 Hedgerow Data'!$BJ$3:$BJ$15,MATCH(M226,'G-6 Hedgerow Data'!$B$3:$B$15,0)),"")</f>
        <v/>
      </c>
    </row>
    <row r="227" spans="2:46" ht="14.25" x14ac:dyDescent="0.2">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c r="N227" s="497" t="str">
        <f>IFERROR(IF(B227="","",INDEX('G-6 Hedgerow Data'!$AN$3:$AZ$15,MATCH(C227,'G-6 Hedgerow Data'!$AM$3:$AM$15,0),MATCH(M227,'G-6 Hedgerow Data'!$AN$2:$AZ$2,0))),"")</f>
        <v/>
      </c>
      <c r="O227" s="498" t="str">
        <f t="shared" si="23"/>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4"/>
        <v/>
      </c>
      <c r="AB227" s="520" t="str">
        <f t="shared" si="25"/>
        <v/>
      </c>
      <c r="AC227" s="521" t="str">
        <f t="shared" si="21"/>
        <v/>
      </c>
      <c r="AD227" s="536" t="str">
        <f>IF(M227="","",VLOOKUP(M227,'G-6 Hedgerow Data'!$B$3:$AG$15,31,FALSE))</f>
        <v/>
      </c>
      <c r="AE227" s="506" t="str">
        <f t="shared" si="26"/>
        <v/>
      </c>
      <c r="AF227" s="506" t="str">
        <f t="shared" si="27"/>
        <v/>
      </c>
      <c r="AG227" s="523" t="str">
        <f>IFERROR(IF(O227="","",VLOOKUP(AD227,'G-3 Multipliers'!$P$3:$Q$6,2,FALSE)),"")</f>
        <v/>
      </c>
      <c r="AH227" s="512" t="str">
        <f t="shared" si="22"/>
        <v/>
      </c>
      <c r="AI227" s="230"/>
      <c r="AJ227" s="150"/>
      <c r="AT227" s="31" t="str">
        <f>IFERROR(INDEX('G-6 Hedgerow Data'!$BJ$3:$BJ$15,MATCH(M227,'G-6 Hedgerow Data'!$B$3:$B$15,0)),"")</f>
        <v/>
      </c>
    </row>
    <row r="228" spans="2:46" ht="14.25" x14ac:dyDescent="0.2">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c r="N228" s="497" t="str">
        <f>IFERROR(IF(B228="","",INDEX('G-6 Hedgerow Data'!$AN$3:$AZ$15,MATCH(C228,'G-6 Hedgerow Data'!$AM$3:$AM$15,0),MATCH(M228,'G-6 Hedgerow Data'!$AN$2:$AZ$2,0))),"")</f>
        <v/>
      </c>
      <c r="O228" s="498" t="str">
        <f t="shared" si="23"/>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4"/>
        <v/>
      </c>
      <c r="AB228" s="520" t="str">
        <f t="shared" si="25"/>
        <v/>
      </c>
      <c r="AC228" s="521" t="str">
        <f t="shared" si="21"/>
        <v/>
      </c>
      <c r="AD228" s="536" t="str">
        <f>IF(M228="","",VLOOKUP(M228,'G-6 Hedgerow Data'!$B$3:$AG$15,31,FALSE))</f>
        <v/>
      </c>
      <c r="AE228" s="506" t="str">
        <f t="shared" si="26"/>
        <v/>
      </c>
      <c r="AF228" s="506" t="str">
        <f t="shared" si="27"/>
        <v/>
      </c>
      <c r="AG228" s="523" t="str">
        <f>IFERROR(IF(O228="","",VLOOKUP(AD228,'G-3 Multipliers'!$P$3:$Q$6,2,FALSE)),"")</f>
        <v/>
      </c>
      <c r="AH228" s="512" t="str">
        <f t="shared" si="22"/>
        <v/>
      </c>
      <c r="AI228" s="230"/>
      <c r="AJ228" s="150"/>
      <c r="AT228" s="31" t="str">
        <f>IFERROR(INDEX('G-6 Hedgerow Data'!$BJ$3:$BJ$15,MATCH(M228,'G-6 Hedgerow Data'!$B$3:$B$15,0)),"")</f>
        <v/>
      </c>
    </row>
    <row r="229" spans="2:46" ht="14.25" x14ac:dyDescent="0.2">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c r="N229" s="497" t="str">
        <f>IFERROR(IF(B229="","",INDEX('G-6 Hedgerow Data'!$AN$3:$AZ$15,MATCH(C229,'G-6 Hedgerow Data'!$AM$3:$AM$15,0),MATCH(M229,'G-6 Hedgerow Data'!$AN$2:$AZ$2,0))),"")</f>
        <v/>
      </c>
      <c r="O229" s="498" t="str">
        <f t="shared" si="23"/>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4"/>
        <v/>
      </c>
      <c r="AB229" s="520" t="str">
        <f t="shared" si="25"/>
        <v/>
      </c>
      <c r="AC229" s="521" t="str">
        <f t="shared" si="21"/>
        <v/>
      </c>
      <c r="AD229" s="536" t="str">
        <f>IF(M229="","",VLOOKUP(M229,'G-6 Hedgerow Data'!$B$3:$AG$15,31,FALSE))</f>
        <v/>
      </c>
      <c r="AE229" s="506" t="str">
        <f t="shared" si="26"/>
        <v/>
      </c>
      <c r="AF229" s="506" t="str">
        <f t="shared" si="27"/>
        <v/>
      </c>
      <c r="AG229" s="523" t="str">
        <f>IFERROR(IF(O229="","",VLOOKUP(AD229,'G-3 Multipliers'!$P$3:$Q$6,2,FALSE)),"")</f>
        <v/>
      </c>
      <c r="AH229" s="512" t="str">
        <f t="shared" si="22"/>
        <v/>
      </c>
      <c r="AI229" s="230"/>
      <c r="AJ229" s="150"/>
      <c r="AT229" s="31" t="str">
        <f>IFERROR(INDEX('G-6 Hedgerow Data'!$BJ$3:$BJ$15,MATCH(M229,'G-6 Hedgerow Data'!$B$3:$B$15,0)),"")</f>
        <v/>
      </c>
    </row>
    <row r="230" spans="2:46" ht="14.25" x14ac:dyDescent="0.2">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c r="N230" s="497" t="str">
        <f>IFERROR(IF(B230="","",INDEX('G-6 Hedgerow Data'!$AN$3:$AZ$15,MATCH(C230,'G-6 Hedgerow Data'!$AM$3:$AM$15,0),MATCH(M230,'G-6 Hedgerow Data'!$AN$2:$AZ$2,0))),"")</f>
        <v/>
      </c>
      <c r="O230" s="498" t="str">
        <f t="shared" si="23"/>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4"/>
        <v/>
      </c>
      <c r="AB230" s="520" t="str">
        <f t="shared" si="25"/>
        <v/>
      </c>
      <c r="AC230" s="521" t="str">
        <f t="shared" si="21"/>
        <v/>
      </c>
      <c r="AD230" s="536" t="str">
        <f>IF(M230="","",VLOOKUP(M230,'G-6 Hedgerow Data'!$B$3:$AG$15,31,FALSE))</f>
        <v/>
      </c>
      <c r="AE230" s="506" t="str">
        <f t="shared" si="26"/>
        <v/>
      </c>
      <c r="AF230" s="506" t="str">
        <f t="shared" si="27"/>
        <v/>
      </c>
      <c r="AG230" s="523" t="str">
        <f>IFERROR(IF(O230="","",VLOOKUP(AD230,'G-3 Multipliers'!$P$3:$Q$6,2,FALSE)),"")</f>
        <v/>
      </c>
      <c r="AH230" s="512" t="str">
        <f t="shared" si="22"/>
        <v/>
      </c>
      <c r="AI230" s="230"/>
      <c r="AJ230" s="150"/>
      <c r="AT230" s="31" t="str">
        <f>IFERROR(INDEX('G-6 Hedgerow Data'!$BJ$3:$BJ$15,MATCH(M230,'G-6 Hedgerow Data'!$B$3:$B$15,0)),"")</f>
        <v/>
      </c>
    </row>
    <row r="231" spans="2:46" ht="14.25" x14ac:dyDescent="0.2">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c r="N231" s="497" t="str">
        <f>IFERROR(IF(B231="","",INDEX('G-6 Hedgerow Data'!$AN$3:$AZ$15,MATCH(C231,'G-6 Hedgerow Data'!$AM$3:$AM$15,0),MATCH(M231,'G-6 Hedgerow Data'!$AN$2:$AZ$2,0))),"")</f>
        <v/>
      </c>
      <c r="O231" s="498" t="str">
        <f t="shared" si="23"/>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4"/>
        <v/>
      </c>
      <c r="AB231" s="520" t="str">
        <f t="shared" si="25"/>
        <v/>
      </c>
      <c r="AC231" s="521" t="str">
        <f t="shared" si="21"/>
        <v/>
      </c>
      <c r="AD231" s="536" t="str">
        <f>IF(M231="","",VLOOKUP(M231,'G-6 Hedgerow Data'!$B$3:$AG$15,31,FALSE))</f>
        <v/>
      </c>
      <c r="AE231" s="506" t="str">
        <f t="shared" si="26"/>
        <v/>
      </c>
      <c r="AF231" s="506" t="str">
        <f t="shared" si="27"/>
        <v/>
      </c>
      <c r="AG231" s="523" t="str">
        <f>IFERROR(IF(O231="","",VLOOKUP(AD231,'G-3 Multipliers'!$P$3:$Q$6,2,FALSE)),"")</f>
        <v/>
      </c>
      <c r="AH231" s="512" t="str">
        <f t="shared" si="22"/>
        <v/>
      </c>
      <c r="AI231" s="230"/>
      <c r="AJ231" s="150"/>
      <c r="AT231" s="31" t="str">
        <f>IFERROR(INDEX('G-6 Hedgerow Data'!$BJ$3:$BJ$15,MATCH(M231,'G-6 Hedgerow Data'!$B$3:$B$15,0)),"")</f>
        <v/>
      </c>
    </row>
    <row r="232" spans="2:46" ht="14.25" x14ac:dyDescent="0.2">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c r="N232" s="497" t="str">
        <f>IFERROR(IF(B232="","",INDEX('G-6 Hedgerow Data'!$AN$3:$AZ$15,MATCH(C232,'G-6 Hedgerow Data'!$AM$3:$AM$15,0),MATCH(M232,'G-6 Hedgerow Data'!$AN$2:$AZ$2,0))),"")</f>
        <v/>
      </c>
      <c r="O232" s="498" t="str">
        <f t="shared" si="23"/>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4"/>
        <v/>
      </c>
      <c r="AB232" s="520" t="str">
        <f t="shared" si="25"/>
        <v/>
      </c>
      <c r="AC232" s="521" t="str">
        <f t="shared" si="21"/>
        <v/>
      </c>
      <c r="AD232" s="536" t="str">
        <f>IF(M232="","",VLOOKUP(M232,'G-6 Hedgerow Data'!$B$3:$AG$15,31,FALSE))</f>
        <v/>
      </c>
      <c r="AE232" s="506" t="str">
        <f t="shared" si="26"/>
        <v/>
      </c>
      <c r="AF232" s="506" t="str">
        <f t="shared" si="27"/>
        <v/>
      </c>
      <c r="AG232" s="523" t="str">
        <f>IFERROR(IF(O232="","",VLOOKUP(AD232,'G-3 Multipliers'!$P$3:$Q$6,2,FALSE)),"")</f>
        <v/>
      </c>
      <c r="AH232" s="512" t="str">
        <f t="shared" si="22"/>
        <v/>
      </c>
      <c r="AI232" s="230"/>
      <c r="AJ232" s="150"/>
      <c r="AT232" s="31" t="str">
        <f>IFERROR(INDEX('G-6 Hedgerow Data'!$BJ$3:$BJ$15,MATCH(M232,'G-6 Hedgerow Data'!$B$3:$B$15,0)),"")</f>
        <v/>
      </c>
    </row>
    <row r="233" spans="2:46" ht="14.25" x14ac:dyDescent="0.2">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c r="N233" s="497" t="str">
        <f>IFERROR(IF(B233="","",INDEX('G-6 Hedgerow Data'!$AN$3:$AZ$15,MATCH(C233,'G-6 Hedgerow Data'!$AM$3:$AM$15,0),MATCH(M233,'G-6 Hedgerow Data'!$AN$2:$AZ$2,0))),"")</f>
        <v/>
      </c>
      <c r="O233" s="498" t="str">
        <f t="shared" si="23"/>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4"/>
        <v/>
      </c>
      <c r="AB233" s="520" t="str">
        <f t="shared" si="25"/>
        <v/>
      </c>
      <c r="AC233" s="521" t="str">
        <f t="shared" si="21"/>
        <v/>
      </c>
      <c r="AD233" s="536" t="str">
        <f>IF(M233="","",VLOOKUP(M233,'G-6 Hedgerow Data'!$B$3:$AG$15,31,FALSE))</f>
        <v/>
      </c>
      <c r="AE233" s="506" t="str">
        <f t="shared" si="26"/>
        <v/>
      </c>
      <c r="AF233" s="506" t="str">
        <f t="shared" si="27"/>
        <v/>
      </c>
      <c r="AG233" s="523" t="str">
        <f>IFERROR(IF(O233="","",VLOOKUP(AD233,'G-3 Multipliers'!$P$3:$Q$6,2,FALSE)),"")</f>
        <v/>
      </c>
      <c r="AH233" s="512" t="str">
        <f t="shared" si="22"/>
        <v/>
      </c>
      <c r="AI233" s="230"/>
      <c r="AJ233" s="150"/>
      <c r="AT233" s="31" t="str">
        <f>IFERROR(INDEX('G-6 Hedgerow Data'!$BJ$3:$BJ$15,MATCH(M233,'G-6 Hedgerow Data'!$B$3:$B$15,0)),"")</f>
        <v/>
      </c>
    </row>
    <row r="234" spans="2:46" ht="14.25" x14ac:dyDescent="0.2">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c r="N234" s="497" t="str">
        <f>IFERROR(IF(B234="","",INDEX('G-6 Hedgerow Data'!$AN$3:$AZ$15,MATCH(C234,'G-6 Hedgerow Data'!$AM$3:$AM$15,0),MATCH(M234,'G-6 Hedgerow Data'!$AN$2:$AZ$2,0))),"")</f>
        <v/>
      </c>
      <c r="O234" s="498" t="str">
        <f t="shared" si="23"/>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4"/>
        <v/>
      </c>
      <c r="AB234" s="520" t="str">
        <f t="shared" si="25"/>
        <v/>
      </c>
      <c r="AC234" s="521" t="str">
        <f t="shared" si="21"/>
        <v/>
      </c>
      <c r="AD234" s="536" t="str">
        <f>IF(M234="","",VLOOKUP(M234,'G-6 Hedgerow Data'!$B$3:$AG$15,31,FALSE))</f>
        <v/>
      </c>
      <c r="AE234" s="506" t="str">
        <f t="shared" si="26"/>
        <v/>
      </c>
      <c r="AF234" s="506" t="str">
        <f t="shared" si="27"/>
        <v/>
      </c>
      <c r="AG234" s="523" t="str">
        <f>IFERROR(IF(O234="","",VLOOKUP(AD234,'G-3 Multipliers'!$P$3:$Q$6,2,FALSE)),"")</f>
        <v/>
      </c>
      <c r="AH234" s="512" t="str">
        <f t="shared" si="22"/>
        <v/>
      </c>
      <c r="AI234" s="230"/>
      <c r="AJ234" s="150"/>
      <c r="AT234" s="31" t="str">
        <f>IFERROR(INDEX('G-6 Hedgerow Data'!$BJ$3:$BJ$15,MATCH(M234,'G-6 Hedgerow Data'!$B$3:$B$15,0)),"")</f>
        <v/>
      </c>
    </row>
    <row r="235" spans="2:46" ht="14.25" x14ac:dyDescent="0.2">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c r="N235" s="497" t="str">
        <f>IFERROR(IF(B235="","",INDEX('G-6 Hedgerow Data'!$AN$3:$AZ$15,MATCH(C235,'G-6 Hedgerow Data'!$AM$3:$AM$15,0),MATCH(M235,'G-6 Hedgerow Data'!$AN$2:$AZ$2,0))),"")</f>
        <v/>
      </c>
      <c r="O235" s="498" t="str">
        <f t="shared" si="23"/>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4"/>
        <v/>
      </c>
      <c r="AB235" s="520" t="str">
        <f t="shared" si="25"/>
        <v/>
      </c>
      <c r="AC235" s="521" t="str">
        <f t="shared" si="21"/>
        <v/>
      </c>
      <c r="AD235" s="536" t="str">
        <f>IF(M235="","",VLOOKUP(M235,'G-6 Hedgerow Data'!$B$3:$AG$15,31,FALSE))</f>
        <v/>
      </c>
      <c r="AE235" s="506" t="str">
        <f t="shared" si="26"/>
        <v/>
      </c>
      <c r="AF235" s="506" t="str">
        <f t="shared" si="27"/>
        <v/>
      </c>
      <c r="AG235" s="523" t="str">
        <f>IFERROR(IF(O235="","",VLOOKUP(AD235,'G-3 Multipliers'!$P$3:$Q$6,2,FALSE)),"")</f>
        <v/>
      </c>
      <c r="AH235" s="512" t="str">
        <f t="shared" si="22"/>
        <v/>
      </c>
      <c r="AI235" s="230"/>
      <c r="AJ235" s="150"/>
      <c r="AT235" s="31" t="str">
        <f>IFERROR(INDEX('G-6 Hedgerow Data'!$BJ$3:$BJ$15,MATCH(M235,'G-6 Hedgerow Data'!$B$3:$B$15,0)),"")</f>
        <v/>
      </c>
    </row>
    <row r="236" spans="2:46" ht="14.25" x14ac:dyDescent="0.2">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c r="N236" s="497" t="str">
        <f>IFERROR(IF(B236="","",INDEX('G-6 Hedgerow Data'!$AN$3:$AZ$15,MATCH(C236,'G-6 Hedgerow Data'!$AM$3:$AM$15,0),MATCH(M236,'G-6 Hedgerow Data'!$AN$2:$AZ$2,0))),"")</f>
        <v/>
      </c>
      <c r="O236" s="498" t="str">
        <f t="shared" si="23"/>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4"/>
        <v/>
      </c>
      <c r="AB236" s="520" t="str">
        <f t="shared" si="25"/>
        <v/>
      </c>
      <c r="AC236" s="521" t="str">
        <f t="shared" si="21"/>
        <v/>
      </c>
      <c r="AD236" s="536" t="str">
        <f>IF(M236="","",VLOOKUP(M236,'G-6 Hedgerow Data'!$B$3:$AG$15,31,FALSE))</f>
        <v/>
      </c>
      <c r="AE236" s="506" t="str">
        <f t="shared" si="26"/>
        <v/>
      </c>
      <c r="AF236" s="506" t="str">
        <f t="shared" si="27"/>
        <v/>
      </c>
      <c r="AG236" s="523" t="str">
        <f>IFERROR(IF(O236="","",VLOOKUP(AD236,'G-3 Multipliers'!$P$3:$Q$6,2,FALSE)),"")</f>
        <v/>
      </c>
      <c r="AH236" s="512" t="str">
        <f t="shared" si="22"/>
        <v/>
      </c>
      <c r="AI236" s="230"/>
      <c r="AJ236" s="150"/>
      <c r="AT236" s="31" t="str">
        <f>IFERROR(INDEX('G-6 Hedgerow Data'!$BJ$3:$BJ$15,MATCH(M236,'G-6 Hedgerow Data'!$B$3:$B$15,0)),"")</f>
        <v/>
      </c>
    </row>
    <row r="237" spans="2:46" ht="14.25" x14ac:dyDescent="0.2">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c r="N237" s="497" t="str">
        <f>IFERROR(IF(B237="","",INDEX('G-6 Hedgerow Data'!$AN$3:$AZ$15,MATCH(C237,'G-6 Hedgerow Data'!$AM$3:$AM$15,0),MATCH(M237,'G-6 Hedgerow Data'!$AN$2:$AZ$2,0))),"")</f>
        <v/>
      </c>
      <c r="O237" s="498" t="str">
        <f t="shared" si="23"/>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4"/>
        <v/>
      </c>
      <c r="AB237" s="520" t="str">
        <f t="shared" si="25"/>
        <v/>
      </c>
      <c r="AC237" s="521" t="str">
        <f t="shared" si="21"/>
        <v/>
      </c>
      <c r="AD237" s="536" t="str">
        <f>IF(M237="","",VLOOKUP(M237,'G-6 Hedgerow Data'!$B$3:$AG$15,31,FALSE))</f>
        <v/>
      </c>
      <c r="AE237" s="506" t="str">
        <f t="shared" si="26"/>
        <v/>
      </c>
      <c r="AF237" s="506" t="str">
        <f t="shared" si="27"/>
        <v/>
      </c>
      <c r="AG237" s="523" t="str">
        <f>IFERROR(IF(O237="","",VLOOKUP(AD237,'G-3 Multipliers'!$P$3:$Q$6,2,FALSE)),"")</f>
        <v/>
      </c>
      <c r="AH237" s="512" t="str">
        <f t="shared" si="22"/>
        <v/>
      </c>
      <c r="AI237" s="230"/>
      <c r="AJ237" s="150"/>
      <c r="AT237" s="31" t="str">
        <f>IFERROR(INDEX('G-6 Hedgerow Data'!$BJ$3:$BJ$15,MATCH(M237,'G-6 Hedgerow Data'!$B$3:$B$15,0)),"")</f>
        <v/>
      </c>
    </row>
    <row r="238" spans="2:46" ht="14.25" x14ac:dyDescent="0.2">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c r="N238" s="497" t="str">
        <f>IFERROR(IF(B238="","",INDEX('G-6 Hedgerow Data'!$AN$3:$AZ$15,MATCH(C238,'G-6 Hedgerow Data'!$AM$3:$AM$15,0),MATCH(M238,'G-6 Hedgerow Data'!$AN$2:$AZ$2,0))),"")</f>
        <v/>
      </c>
      <c r="O238" s="498" t="str">
        <f t="shared" si="23"/>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4"/>
        <v/>
      </c>
      <c r="AB238" s="520" t="str">
        <f t="shared" si="25"/>
        <v/>
      </c>
      <c r="AC238" s="521" t="str">
        <f t="shared" si="21"/>
        <v/>
      </c>
      <c r="AD238" s="536" t="str">
        <f>IF(M238="","",VLOOKUP(M238,'G-6 Hedgerow Data'!$B$3:$AG$15,31,FALSE))</f>
        <v/>
      </c>
      <c r="AE238" s="506" t="str">
        <f t="shared" si="26"/>
        <v/>
      </c>
      <c r="AF238" s="506" t="str">
        <f t="shared" si="27"/>
        <v/>
      </c>
      <c r="AG238" s="523" t="str">
        <f>IFERROR(IF(O238="","",VLOOKUP(AD238,'G-3 Multipliers'!$P$3:$Q$6,2,FALSE)),"")</f>
        <v/>
      </c>
      <c r="AH238" s="512" t="str">
        <f t="shared" si="22"/>
        <v/>
      </c>
      <c r="AI238" s="230"/>
      <c r="AJ238" s="150"/>
      <c r="AT238" s="31" t="str">
        <f>IFERROR(INDEX('G-6 Hedgerow Data'!$BJ$3:$BJ$15,MATCH(M238,'G-6 Hedgerow Data'!$B$3:$B$15,0)),"")</f>
        <v/>
      </c>
    </row>
    <row r="239" spans="2:46" ht="14.25" x14ac:dyDescent="0.2">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c r="N239" s="497" t="str">
        <f>IFERROR(IF(B239="","",INDEX('G-6 Hedgerow Data'!$AN$3:$AZ$15,MATCH(C239,'G-6 Hedgerow Data'!$AM$3:$AM$15,0),MATCH(M239,'G-6 Hedgerow Data'!$AN$2:$AZ$2,0))),"")</f>
        <v/>
      </c>
      <c r="O239" s="498" t="str">
        <f t="shared" si="23"/>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4"/>
        <v/>
      </c>
      <c r="AB239" s="520" t="str">
        <f t="shared" si="25"/>
        <v/>
      </c>
      <c r="AC239" s="521" t="str">
        <f t="shared" si="21"/>
        <v/>
      </c>
      <c r="AD239" s="536" t="str">
        <f>IF(M239="","",VLOOKUP(M239,'G-6 Hedgerow Data'!$B$3:$AG$15,31,FALSE))</f>
        <v/>
      </c>
      <c r="AE239" s="506" t="str">
        <f t="shared" si="26"/>
        <v/>
      </c>
      <c r="AF239" s="506" t="str">
        <f t="shared" si="27"/>
        <v/>
      </c>
      <c r="AG239" s="523" t="str">
        <f>IFERROR(IF(O239="","",VLOOKUP(AD239,'G-3 Multipliers'!$P$3:$Q$6,2,FALSE)),"")</f>
        <v/>
      </c>
      <c r="AH239" s="512" t="str">
        <f t="shared" si="22"/>
        <v/>
      </c>
      <c r="AI239" s="230"/>
      <c r="AJ239" s="150"/>
      <c r="AT239" s="31" t="str">
        <f>IFERROR(INDEX('G-6 Hedgerow Data'!$BJ$3:$BJ$15,MATCH(M239,'G-6 Hedgerow Data'!$B$3:$B$15,0)),"")</f>
        <v/>
      </c>
    </row>
    <row r="240" spans="2:46" ht="14.25" x14ac:dyDescent="0.2">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c r="N240" s="497" t="str">
        <f>IFERROR(IF(B240="","",INDEX('G-6 Hedgerow Data'!$AN$3:$AZ$15,MATCH(C240,'G-6 Hedgerow Data'!$AM$3:$AM$15,0),MATCH(M240,'G-6 Hedgerow Data'!$AN$2:$AZ$2,0))),"")</f>
        <v/>
      </c>
      <c r="O240" s="498" t="str">
        <f t="shared" si="23"/>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4"/>
        <v/>
      </c>
      <c r="AB240" s="520" t="str">
        <f t="shared" si="25"/>
        <v/>
      </c>
      <c r="AC240" s="521" t="str">
        <f t="shared" si="21"/>
        <v/>
      </c>
      <c r="AD240" s="536" t="str">
        <f>IF(M240="","",VLOOKUP(M240,'G-6 Hedgerow Data'!$B$3:$AG$15,31,FALSE))</f>
        <v/>
      </c>
      <c r="AE240" s="506" t="str">
        <f t="shared" si="26"/>
        <v/>
      </c>
      <c r="AF240" s="506" t="str">
        <f t="shared" si="27"/>
        <v/>
      </c>
      <c r="AG240" s="523" t="str">
        <f>IFERROR(IF(O240="","",VLOOKUP(AD240,'G-3 Multipliers'!$P$3:$Q$6,2,FALSE)),"")</f>
        <v/>
      </c>
      <c r="AH240" s="512" t="str">
        <f t="shared" si="22"/>
        <v/>
      </c>
      <c r="AI240" s="230"/>
      <c r="AJ240" s="150"/>
      <c r="AT240" s="31" t="str">
        <f>IFERROR(INDEX('G-6 Hedgerow Data'!$BJ$3:$BJ$15,MATCH(M240,'G-6 Hedgerow Data'!$B$3:$B$15,0)),"")</f>
        <v/>
      </c>
    </row>
    <row r="241" spans="2:46" ht="14.25" x14ac:dyDescent="0.2">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c r="N241" s="497" t="str">
        <f>IFERROR(IF(B241="","",INDEX('G-6 Hedgerow Data'!$AN$3:$AZ$15,MATCH(C241,'G-6 Hedgerow Data'!$AM$3:$AM$15,0),MATCH(M241,'G-6 Hedgerow Data'!$AN$2:$AZ$2,0))),"")</f>
        <v/>
      </c>
      <c r="O241" s="498" t="str">
        <f t="shared" si="23"/>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4"/>
        <v/>
      </c>
      <c r="AB241" s="520" t="str">
        <f t="shared" si="25"/>
        <v/>
      </c>
      <c r="AC241" s="521" t="str">
        <f t="shared" si="21"/>
        <v/>
      </c>
      <c r="AD241" s="536" t="str">
        <f>IF(M241="","",VLOOKUP(M241,'G-6 Hedgerow Data'!$B$3:$AG$15,31,FALSE))</f>
        <v/>
      </c>
      <c r="AE241" s="506" t="str">
        <f t="shared" si="26"/>
        <v/>
      </c>
      <c r="AF241" s="506" t="str">
        <f t="shared" si="27"/>
        <v/>
      </c>
      <c r="AG241" s="523" t="str">
        <f>IFERROR(IF(O241="","",VLOOKUP(AD241,'G-3 Multipliers'!$P$3:$Q$6,2,FALSE)),"")</f>
        <v/>
      </c>
      <c r="AH241" s="512" t="str">
        <f t="shared" si="22"/>
        <v/>
      </c>
      <c r="AI241" s="230"/>
      <c r="AJ241" s="150"/>
      <c r="AT241" s="31" t="str">
        <f>IFERROR(INDEX('G-6 Hedgerow Data'!$BJ$3:$BJ$15,MATCH(M241,'G-6 Hedgerow Data'!$B$3:$B$15,0)),"")</f>
        <v/>
      </c>
    </row>
    <row r="242" spans="2:46" ht="14.25" x14ac:dyDescent="0.2">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c r="N242" s="497" t="str">
        <f>IFERROR(IF(B242="","",INDEX('G-6 Hedgerow Data'!$AN$3:$AZ$15,MATCH(C242,'G-6 Hedgerow Data'!$AM$3:$AM$15,0),MATCH(M242,'G-6 Hedgerow Data'!$AN$2:$AZ$2,0))),"")</f>
        <v/>
      </c>
      <c r="O242" s="498" t="str">
        <f t="shared" si="23"/>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4"/>
        <v/>
      </c>
      <c r="AB242" s="520" t="str">
        <f t="shared" si="25"/>
        <v/>
      </c>
      <c r="AC242" s="521" t="str">
        <f t="shared" si="21"/>
        <v/>
      </c>
      <c r="AD242" s="536" t="str">
        <f>IF(M242="","",VLOOKUP(M242,'G-6 Hedgerow Data'!$B$3:$AG$15,31,FALSE))</f>
        <v/>
      </c>
      <c r="AE242" s="506" t="str">
        <f t="shared" si="26"/>
        <v/>
      </c>
      <c r="AF242" s="506" t="str">
        <f t="shared" si="27"/>
        <v/>
      </c>
      <c r="AG242" s="523" t="str">
        <f>IFERROR(IF(O242="","",VLOOKUP(AD242,'G-3 Multipliers'!$P$3:$Q$6,2,FALSE)),"")</f>
        <v/>
      </c>
      <c r="AH242" s="512" t="str">
        <f t="shared" si="22"/>
        <v/>
      </c>
      <c r="AI242" s="230"/>
      <c r="AJ242" s="150"/>
      <c r="AT242" s="31" t="str">
        <f>IFERROR(INDEX('G-6 Hedgerow Data'!$BJ$3:$BJ$15,MATCH(M242,'G-6 Hedgerow Data'!$B$3:$B$15,0)),"")</f>
        <v/>
      </c>
    </row>
    <row r="243" spans="2:46" ht="14.25" x14ac:dyDescent="0.2">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c r="N243" s="497" t="str">
        <f>IFERROR(IF(B243="","",INDEX('G-6 Hedgerow Data'!$AN$3:$AZ$15,MATCH(C243,'G-6 Hedgerow Data'!$AM$3:$AM$15,0),MATCH(M243,'G-6 Hedgerow Data'!$AN$2:$AZ$2,0))),"")</f>
        <v/>
      </c>
      <c r="O243" s="498" t="str">
        <f t="shared" si="23"/>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4"/>
        <v/>
      </c>
      <c r="AB243" s="520" t="str">
        <f t="shared" si="25"/>
        <v/>
      </c>
      <c r="AC243" s="521" t="str">
        <f t="shared" si="21"/>
        <v/>
      </c>
      <c r="AD243" s="536" t="str">
        <f>IF(M243="","",VLOOKUP(M243,'G-6 Hedgerow Data'!$B$3:$AG$15,31,FALSE))</f>
        <v/>
      </c>
      <c r="AE243" s="506" t="str">
        <f t="shared" si="26"/>
        <v/>
      </c>
      <c r="AF243" s="506" t="str">
        <f t="shared" si="27"/>
        <v/>
      </c>
      <c r="AG243" s="523" t="str">
        <f>IFERROR(IF(O243="","",VLOOKUP(AD243,'G-3 Multipliers'!$P$3:$Q$6,2,FALSE)),"")</f>
        <v/>
      </c>
      <c r="AH243" s="512" t="str">
        <f t="shared" si="22"/>
        <v/>
      </c>
      <c r="AI243" s="230"/>
      <c r="AJ243" s="150"/>
      <c r="AT243" s="31" t="str">
        <f>IFERROR(INDEX('G-6 Hedgerow Data'!$BJ$3:$BJ$15,MATCH(M243,'G-6 Hedgerow Data'!$B$3:$B$15,0)),"")</f>
        <v/>
      </c>
    </row>
    <row r="244" spans="2:46" ht="14.25" x14ac:dyDescent="0.2">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c r="N244" s="497" t="str">
        <f>IFERROR(IF(B244="","",INDEX('G-6 Hedgerow Data'!$AN$3:$AZ$15,MATCH(C244,'G-6 Hedgerow Data'!$AM$3:$AM$15,0),MATCH(M244,'G-6 Hedgerow Data'!$AN$2:$AZ$2,0))),"")</f>
        <v/>
      </c>
      <c r="O244" s="498" t="str">
        <f t="shared" si="23"/>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4"/>
        <v/>
      </c>
      <c r="AB244" s="520" t="str">
        <f t="shared" si="25"/>
        <v/>
      </c>
      <c r="AC244" s="521" t="str">
        <f t="shared" si="21"/>
        <v/>
      </c>
      <c r="AD244" s="536" t="str">
        <f>IF(M244="","",VLOOKUP(M244,'G-6 Hedgerow Data'!$B$3:$AG$15,31,FALSE))</f>
        <v/>
      </c>
      <c r="AE244" s="506" t="str">
        <f t="shared" si="26"/>
        <v/>
      </c>
      <c r="AF244" s="506" t="str">
        <f t="shared" si="27"/>
        <v/>
      </c>
      <c r="AG244" s="523" t="str">
        <f>IFERROR(IF(O244="","",VLOOKUP(AD244,'G-3 Multipliers'!$P$3:$Q$6,2,FALSE)),"")</f>
        <v/>
      </c>
      <c r="AH244" s="512" t="str">
        <f t="shared" si="22"/>
        <v/>
      </c>
      <c r="AI244" s="230"/>
      <c r="AJ244" s="150"/>
      <c r="AT244" s="31" t="str">
        <f>IFERROR(INDEX('G-6 Hedgerow Data'!$BJ$3:$BJ$15,MATCH(M244,'G-6 Hedgerow Data'!$B$3:$B$15,0)),"")</f>
        <v/>
      </c>
    </row>
    <row r="245" spans="2:46" ht="14.25" x14ac:dyDescent="0.2">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c r="N245" s="497" t="str">
        <f>IFERROR(IF(B245="","",INDEX('G-6 Hedgerow Data'!$AN$3:$AZ$15,MATCH(C245,'G-6 Hedgerow Data'!$AM$3:$AM$15,0),MATCH(M245,'G-6 Hedgerow Data'!$AN$2:$AZ$2,0))),"")</f>
        <v/>
      </c>
      <c r="O245" s="498" t="str">
        <f t="shared" si="23"/>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4"/>
        <v/>
      </c>
      <c r="AB245" s="520" t="str">
        <f t="shared" si="25"/>
        <v/>
      </c>
      <c r="AC245" s="521" t="str">
        <f t="shared" si="21"/>
        <v/>
      </c>
      <c r="AD245" s="536" t="str">
        <f>IF(M245="","",VLOOKUP(M245,'G-6 Hedgerow Data'!$B$3:$AG$15,31,FALSE))</f>
        <v/>
      </c>
      <c r="AE245" s="506" t="str">
        <f t="shared" si="26"/>
        <v/>
      </c>
      <c r="AF245" s="506" t="str">
        <f t="shared" si="27"/>
        <v/>
      </c>
      <c r="AG245" s="523" t="str">
        <f>IFERROR(IF(O245="","",VLOOKUP(AD245,'G-3 Multipliers'!$P$3:$Q$6,2,FALSE)),"")</f>
        <v/>
      </c>
      <c r="AH245" s="512" t="str">
        <f t="shared" si="22"/>
        <v/>
      </c>
      <c r="AI245" s="230"/>
      <c r="AJ245" s="150"/>
      <c r="AT245" s="31" t="str">
        <f>IFERROR(INDEX('G-6 Hedgerow Data'!$BJ$3:$BJ$15,MATCH(M245,'G-6 Hedgerow Data'!$B$3:$B$15,0)),"")</f>
        <v/>
      </c>
    </row>
    <row r="246" spans="2:46" ht="14.25" x14ac:dyDescent="0.2">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c r="N246" s="497" t="str">
        <f>IFERROR(IF(B246="","",INDEX('G-6 Hedgerow Data'!$AN$3:$AZ$15,MATCH(C246,'G-6 Hedgerow Data'!$AM$3:$AM$15,0),MATCH(M246,'G-6 Hedgerow Data'!$AN$2:$AZ$2,0))),"")</f>
        <v/>
      </c>
      <c r="O246" s="498" t="str">
        <f t="shared" si="23"/>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4"/>
        <v/>
      </c>
      <c r="AB246" s="520" t="str">
        <f t="shared" si="25"/>
        <v/>
      </c>
      <c r="AC246" s="521" t="str">
        <f t="shared" si="21"/>
        <v/>
      </c>
      <c r="AD246" s="536" t="str">
        <f>IF(M246="","",VLOOKUP(M246,'G-6 Hedgerow Data'!$B$3:$AG$15,31,FALSE))</f>
        <v/>
      </c>
      <c r="AE246" s="506" t="str">
        <f t="shared" si="26"/>
        <v/>
      </c>
      <c r="AF246" s="506" t="str">
        <f t="shared" si="27"/>
        <v/>
      </c>
      <c r="AG246" s="523" t="str">
        <f>IFERROR(IF(O246="","",VLOOKUP(AD246,'G-3 Multipliers'!$P$3:$Q$6,2,FALSE)),"")</f>
        <v/>
      </c>
      <c r="AH246" s="512" t="str">
        <f t="shared" si="22"/>
        <v/>
      </c>
      <c r="AI246" s="230"/>
      <c r="AJ246" s="150"/>
      <c r="AT246" s="31" t="str">
        <f>IFERROR(INDEX('G-6 Hedgerow Data'!$BJ$3:$BJ$15,MATCH(M246,'G-6 Hedgerow Data'!$B$3:$B$15,0)),"")</f>
        <v/>
      </c>
    </row>
    <row r="247" spans="2:46" ht="14.25" x14ac:dyDescent="0.2">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c r="N247" s="497" t="str">
        <f>IFERROR(IF(B247="","",INDEX('G-6 Hedgerow Data'!$AN$3:$AZ$15,MATCH(C247,'G-6 Hedgerow Data'!$AM$3:$AM$15,0),MATCH(M247,'G-6 Hedgerow Data'!$AN$2:$AZ$2,0))),"")</f>
        <v/>
      </c>
      <c r="O247" s="498" t="str">
        <f t="shared" si="23"/>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4"/>
        <v/>
      </c>
      <c r="AB247" s="520" t="str">
        <f t="shared" si="25"/>
        <v/>
      </c>
      <c r="AC247" s="521" t="str">
        <f t="shared" si="21"/>
        <v/>
      </c>
      <c r="AD247" s="536" t="str">
        <f>IF(M247="","",VLOOKUP(M247,'G-6 Hedgerow Data'!$B$3:$AG$15,31,FALSE))</f>
        <v/>
      </c>
      <c r="AE247" s="506" t="str">
        <f t="shared" si="26"/>
        <v/>
      </c>
      <c r="AF247" s="506" t="str">
        <f t="shared" si="27"/>
        <v/>
      </c>
      <c r="AG247" s="523" t="str">
        <f>IFERROR(IF(O247="","",VLOOKUP(AD247,'G-3 Multipliers'!$P$3:$Q$6,2,FALSE)),"")</f>
        <v/>
      </c>
      <c r="AH247" s="512" t="str">
        <f t="shared" si="22"/>
        <v/>
      </c>
      <c r="AI247" s="230"/>
      <c r="AJ247" s="150"/>
      <c r="AT247" s="31" t="str">
        <f>IFERROR(INDEX('G-6 Hedgerow Data'!$BJ$3:$BJ$15,MATCH(M247,'G-6 Hedgerow Data'!$B$3:$B$15,0)),"")</f>
        <v/>
      </c>
    </row>
    <row r="248" spans="2:46" ht="14.25" x14ac:dyDescent="0.2">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c r="N248" s="497" t="str">
        <f>IFERROR(IF(B248="","",INDEX('G-6 Hedgerow Data'!$AN$3:$AZ$15,MATCH(C248,'G-6 Hedgerow Data'!$AM$3:$AM$15,0),MATCH(M248,'G-6 Hedgerow Data'!$AN$2:$AZ$2,0))),"")</f>
        <v/>
      </c>
      <c r="O248" s="498" t="str">
        <f t="shared" si="23"/>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4"/>
        <v/>
      </c>
      <c r="AB248" s="520" t="str">
        <f t="shared" si="25"/>
        <v/>
      </c>
      <c r="AC248" s="521" t="str">
        <f t="shared" si="21"/>
        <v/>
      </c>
      <c r="AD248" s="536" t="str">
        <f>IF(M248="","",VLOOKUP(M248,'G-6 Hedgerow Data'!$B$3:$AG$15,31,FALSE))</f>
        <v/>
      </c>
      <c r="AE248" s="506" t="str">
        <f t="shared" si="26"/>
        <v/>
      </c>
      <c r="AF248" s="506" t="str">
        <f t="shared" si="27"/>
        <v/>
      </c>
      <c r="AG248" s="523" t="str">
        <f>IFERROR(IF(O248="","",VLOOKUP(AD248,'G-3 Multipliers'!$P$3:$Q$6,2,FALSE)),"")</f>
        <v/>
      </c>
      <c r="AH248" s="512" t="str">
        <f t="shared" si="22"/>
        <v/>
      </c>
      <c r="AI248" s="230"/>
      <c r="AJ248" s="150"/>
      <c r="AT248" s="31" t="str">
        <f>IFERROR(INDEX('G-6 Hedgerow Data'!$BJ$3:$BJ$15,MATCH(M248,'G-6 Hedgerow Data'!$B$3:$B$15,0)),"")</f>
        <v/>
      </c>
    </row>
    <row r="249" spans="2:46" ht="14.25" x14ac:dyDescent="0.2">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c r="N249" s="497" t="str">
        <f>IFERROR(IF(B249="","",INDEX('G-6 Hedgerow Data'!$AN$3:$AZ$15,MATCH(C249,'G-6 Hedgerow Data'!$AM$3:$AM$15,0),MATCH(M249,'G-6 Hedgerow Data'!$AN$2:$AZ$2,0))),"")</f>
        <v/>
      </c>
      <c r="O249" s="498" t="str">
        <f t="shared" si="23"/>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4"/>
        <v/>
      </c>
      <c r="AB249" s="520" t="str">
        <f t="shared" si="25"/>
        <v/>
      </c>
      <c r="AC249" s="521" t="str">
        <f t="shared" si="21"/>
        <v/>
      </c>
      <c r="AD249" s="536" t="str">
        <f>IF(M249="","",VLOOKUP(M249,'G-6 Hedgerow Data'!$B$3:$AG$15,31,FALSE))</f>
        <v/>
      </c>
      <c r="AE249" s="506" t="str">
        <f t="shared" si="26"/>
        <v/>
      </c>
      <c r="AF249" s="506" t="str">
        <f t="shared" si="27"/>
        <v/>
      </c>
      <c r="AG249" s="523" t="str">
        <f>IFERROR(IF(O249="","",VLOOKUP(AD249,'G-3 Multipliers'!$P$3:$Q$6,2,FALSE)),"")</f>
        <v/>
      </c>
      <c r="AH249" s="512" t="str">
        <f t="shared" si="22"/>
        <v/>
      </c>
      <c r="AI249" s="230"/>
      <c r="AJ249" s="150"/>
      <c r="AT249" s="31" t="str">
        <f>IFERROR(INDEX('G-6 Hedgerow Data'!$BJ$3:$BJ$15,MATCH(M249,'G-6 Hedgerow Data'!$B$3:$B$15,0)),"")</f>
        <v/>
      </c>
    </row>
    <row r="250" spans="2:46" ht="14.25" x14ac:dyDescent="0.2">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c r="N250" s="497" t="str">
        <f>IFERROR(IF(B250="","",INDEX('G-6 Hedgerow Data'!$AN$3:$AZ$15,MATCH(C250,'G-6 Hedgerow Data'!$AM$3:$AM$15,0),MATCH(M250,'G-6 Hedgerow Data'!$AN$2:$AZ$2,0))),"")</f>
        <v/>
      </c>
      <c r="O250" s="498" t="str">
        <f t="shared" si="23"/>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4"/>
        <v/>
      </c>
      <c r="AB250" s="520" t="str">
        <f t="shared" si="25"/>
        <v/>
      </c>
      <c r="AC250" s="521" t="str">
        <f t="shared" si="21"/>
        <v/>
      </c>
      <c r="AD250" s="536" t="str">
        <f>IF(M250="","",VLOOKUP(M250,'G-6 Hedgerow Data'!$B$3:$AG$15,31,FALSE))</f>
        <v/>
      </c>
      <c r="AE250" s="506" t="str">
        <f t="shared" si="26"/>
        <v/>
      </c>
      <c r="AF250" s="506" t="str">
        <f t="shared" si="27"/>
        <v/>
      </c>
      <c r="AG250" s="523" t="str">
        <f>IFERROR(IF(O250="","",VLOOKUP(AD250,'G-3 Multipliers'!$P$3:$Q$6,2,FALSE)),"")</f>
        <v/>
      </c>
      <c r="AH250" s="512" t="str">
        <f t="shared" si="22"/>
        <v/>
      </c>
      <c r="AI250" s="230"/>
      <c r="AJ250" s="150"/>
      <c r="AT250" s="31" t="str">
        <f>IFERROR(INDEX('G-6 Hedgerow Data'!$BJ$3:$BJ$15,MATCH(M250,'G-6 Hedgerow Data'!$B$3:$B$15,0)),"")</f>
        <v/>
      </c>
    </row>
    <row r="251" spans="2:46" ht="14.25" x14ac:dyDescent="0.2">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c r="N251" s="497" t="str">
        <f>IFERROR(IF(B251="","",INDEX('G-6 Hedgerow Data'!$AN$3:$AZ$15,MATCH(C251,'G-6 Hedgerow Data'!$AM$3:$AM$15,0),MATCH(M251,'G-6 Hedgerow Data'!$AN$2:$AZ$2,0))),"")</f>
        <v/>
      </c>
      <c r="O251" s="498" t="str">
        <f t="shared" si="23"/>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4"/>
        <v/>
      </c>
      <c r="AB251" s="520" t="str">
        <f t="shared" si="25"/>
        <v/>
      </c>
      <c r="AC251" s="521" t="str">
        <f t="shared" si="21"/>
        <v/>
      </c>
      <c r="AD251" s="536" t="str">
        <f>IF(M251="","",VLOOKUP(M251,'G-6 Hedgerow Data'!$B$3:$AG$15,31,FALSE))</f>
        <v/>
      </c>
      <c r="AE251" s="506" t="str">
        <f t="shared" si="26"/>
        <v/>
      </c>
      <c r="AF251" s="506" t="str">
        <f t="shared" si="27"/>
        <v/>
      </c>
      <c r="AG251" s="523" t="str">
        <f>IFERROR(IF(O251="","",VLOOKUP(AD251,'G-3 Multipliers'!$P$3:$Q$6,2,FALSE)),"")</f>
        <v/>
      </c>
      <c r="AH251" s="512" t="str">
        <f t="shared" si="22"/>
        <v/>
      </c>
      <c r="AI251" s="230"/>
      <c r="AJ251" s="150"/>
      <c r="AT251" s="31" t="str">
        <f>IFERROR(INDEX('G-6 Hedgerow Data'!$BJ$3:$BJ$15,MATCH(M251,'G-6 Hedgerow Data'!$B$3:$B$15,0)),"")</f>
        <v/>
      </c>
    </row>
    <row r="252" spans="2:46" ht="14.25" x14ac:dyDescent="0.2">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c r="N252" s="497" t="str">
        <f>IFERROR(IF(B252="","",INDEX('G-6 Hedgerow Data'!$AN$3:$AZ$15,MATCH(C252,'G-6 Hedgerow Data'!$AM$3:$AM$15,0),MATCH(M252,'G-6 Hedgerow Data'!$AN$2:$AZ$2,0))),"")</f>
        <v/>
      </c>
      <c r="O252" s="498" t="str">
        <f t="shared" si="23"/>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4"/>
        <v/>
      </c>
      <c r="AB252" s="520" t="str">
        <f t="shared" si="25"/>
        <v/>
      </c>
      <c r="AC252" s="521" t="str">
        <f t="shared" si="21"/>
        <v/>
      </c>
      <c r="AD252" s="536" t="str">
        <f>IF(M252="","",VLOOKUP(M252,'G-6 Hedgerow Data'!$B$3:$AG$15,31,FALSE))</f>
        <v/>
      </c>
      <c r="AE252" s="506" t="str">
        <f t="shared" si="26"/>
        <v/>
      </c>
      <c r="AF252" s="506" t="str">
        <f t="shared" si="27"/>
        <v/>
      </c>
      <c r="AG252" s="523" t="str">
        <f>IFERROR(IF(O252="","",VLOOKUP(AD252,'G-3 Multipliers'!$P$3:$Q$6,2,FALSE)),"")</f>
        <v/>
      </c>
      <c r="AH252" s="512" t="str">
        <f t="shared" si="22"/>
        <v/>
      </c>
      <c r="AI252" s="230"/>
      <c r="AJ252" s="150"/>
      <c r="AT252" s="31" t="str">
        <f>IFERROR(INDEX('G-6 Hedgerow Data'!$BJ$3:$BJ$15,MATCH(M252,'G-6 Hedgerow Data'!$B$3:$B$15,0)),"")</f>
        <v/>
      </c>
    </row>
    <row r="253" spans="2:46" ht="14.25" x14ac:dyDescent="0.2">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c r="N253" s="497" t="str">
        <f>IFERROR(IF(B253="","",INDEX('G-6 Hedgerow Data'!$AN$3:$AZ$15,MATCH(C253,'G-6 Hedgerow Data'!$AM$3:$AM$15,0),MATCH(M253,'G-6 Hedgerow Data'!$AN$2:$AZ$2,0))),"")</f>
        <v/>
      </c>
      <c r="O253" s="498" t="str">
        <f t="shared" si="23"/>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4"/>
        <v/>
      </c>
      <c r="AB253" s="520" t="str">
        <f t="shared" si="25"/>
        <v/>
      </c>
      <c r="AC253" s="521" t="str">
        <f t="shared" si="21"/>
        <v/>
      </c>
      <c r="AD253" s="536" t="str">
        <f>IF(M253="","",VLOOKUP(M253,'G-6 Hedgerow Data'!$B$3:$AG$15,31,FALSE))</f>
        <v/>
      </c>
      <c r="AE253" s="506" t="str">
        <f t="shared" si="26"/>
        <v/>
      </c>
      <c r="AF253" s="506" t="str">
        <f t="shared" si="27"/>
        <v/>
      </c>
      <c r="AG253" s="523" t="str">
        <f>IFERROR(IF(O253="","",VLOOKUP(AD253,'G-3 Multipliers'!$P$3:$Q$6,2,FALSE)),"")</f>
        <v/>
      </c>
      <c r="AH253" s="512" t="str">
        <f t="shared" si="22"/>
        <v/>
      </c>
      <c r="AI253" s="230"/>
      <c r="AJ253" s="150"/>
      <c r="AT253" s="31" t="str">
        <f>IFERROR(INDEX('G-6 Hedgerow Data'!$BJ$3:$BJ$15,MATCH(M253,'G-6 Hedgerow Data'!$B$3:$B$15,0)),"")</f>
        <v/>
      </c>
    </row>
    <row r="254" spans="2:46" ht="14.25" x14ac:dyDescent="0.2">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c r="N254" s="497" t="str">
        <f>IFERROR(IF(B254="","",INDEX('G-6 Hedgerow Data'!$AN$3:$AZ$15,MATCH(C254,'G-6 Hedgerow Data'!$AM$3:$AM$15,0),MATCH(M254,'G-6 Hedgerow Data'!$AN$2:$AZ$2,0))),"")</f>
        <v/>
      </c>
      <c r="O254" s="498" t="str">
        <f t="shared" si="23"/>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4"/>
        <v/>
      </c>
      <c r="AB254" s="520" t="str">
        <f t="shared" si="25"/>
        <v/>
      </c>
      <c r="AC254" s="521" t="str">
        <f t="shared" si="21"/>
        <v/>
      </c>
      <c r="AD254" s="536" t="str">
        <f>IF(M254="","",VLOOKUP(M254,'G-6 Hedgerow Data'!$B$3:$AG$15,31,FALSE))</f>
        <v/>
      </c>
      <c r="AE254" s="506" t="str">
        <f t="shared" si="26"/>
        <v/>
      </c>
      <c r="AF254" s="506" t="str">
        <f t="shared" si="27"/>
        <v/>
      </c>
      <c r="AG254" s="523" t="str">
        <f>IFERROR(IF(O254="","",VLOOKUP(AD254,'G-3 Multipliers'!$P$3:$Q$6,2,FALSE)),"")</f>
        <v/>
      </c>
      <c r="AH254" s="512" t="str">
        <f t="shared" si="22"/>
        <v/>
      </c>
      <c r="AI254" s="230"/>
      <c r="AJ254" s="150"/>
      <c r="AT254" s="31" t="str">
        <f>IFERROR(INDEX('G-6 Hedgerow Data'!$BJ$3:$BJ$15,MATCH(M254,'G-6 Hedgerow Data'!$B$3:$B$15,0)),"")</f>
        <v/>
      </c>
    </row>
    <row r="255" spans="2:46" ht="14.25" x14ac:dyDescent="0.2">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c r="N255" s="497" t="str">
        <f>IFERROR(IF(B255="","",INDEX('G-6 Hedgerow Data'!$AN$3:$AZ$15,MATCH(C255,'G-6 Hedgerow Data'!$AM$3:$AM$15,0),MATCH(M255,'G-6 Hedgerow Data'!$AN$2:$AZ$2,0))),"")</f>
        <v/>
      </c>
      <c r="O255" s="498" t="str">
        <f t="shared" si="23"/>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4"/>
        <v/>
      </c>
      <c r="AB255" s="520" t="str">
        <f t="shared" si="25"/>
        <v/>
      </c>
      <c r="AC255" s="521" t="str">
        <f t="shared" si="21"/>
        <v/>
      </c>
      <c r="AD255" s="536" t="str">
        <f>IF(M255="","",VLOOKUP(M255,'G-6 Hedgerow Data'!$B$3:$AG$15,31,FALSE))</f>
        <v/>
      </c>
      <c r="AE255" s="506" t="str">
        <f t="shared" si="26"/>
        <v/>
      </c>
      <c r="AF255" s="506" t="str">
        <f t="shared" si="27"/>
        <v/>
      </c>
      <c r="AG255" s="523" t="str">
        <f>IFERROR(IF(O255="","",VLOOKUP(AD255,'G-3 Multipliers'!$P$3:$Q$6,2,FALSE)),"")</f>
        <v/>
      </c>
      <c r="AH255" s="512" t="str">
        <f t="shared" si="22"/>
        <v/>
      </c>
      <c r="AI255" s="230"/>
      <c r="AJ255" s="150"/>
      <c r="AT255" s="31" t="str">
        <f>IFERROR(INDEX('G-6 Hedgerow Data'!$BJ$3:$BJ$15,MATCH(M255,'G-6 Hedgerow Data'!$B$3:$B$15,0)),"")</f>
        <v/>
      </c>
    </row>
    <row r="256" spans="2:46" ht="14.25" x14ac:dyDescent="0.2">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c r="N256" s="497" t="str">
        <f>IFERROR(IF(B256="","",INDEX('G-6 Hedgerow Data'!$AN$3:$AZ$15,MATCH(C256,'G-6 Hedgerow Data'!$AM$3:$AM$15,0),MATCH(M256,'G-6 Hedgerow Data'!$AN$2:$AZ$2,0))),"")</f>
        <v/>
      </c>
      <c r="O256" s="498" t="str">
        <f t="shared" si="23"/>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4"/>
        <v/>
      </c>
      <c r="AB256" s="520" t="str">
        <f t="shared" si="25"/>
        <v/>
      </c>
      <c r="AC256" s="521" t="str">
        <f t="shared" si="21"/>
        <v/>
      </c>
      <c r="AD256" s="536" t="str">
        <f>IF(M256="","",VLOOKUP(M256,'G-6 Hedgerow Data'!$B$3:$AG$15,31,FALSE))</f>
        <v/>
      </c>
      <c r="AE256" s="506" t="str">
        <f t="shared" si="26"/>
        <v/>
      </c>
      <c r="AF256" s="506" t="str">
        <f t="shared" si="27"/>
        <v/>
      </c>
      <c r="AG256" s="523" t="str">
        <f>IFERROR(IF(O256="","",VLOOKUP(AD256,'G-3 Multipliers'!$P$3:$Q$6,2,FALSE)),"")</f>
        <v/>
      </c>
      <c r="AH256" s="512" t="str">
        <f t="shared" si="22"/>
        <v/>
      </c>
      <c r="AI256" s="230"/>
      <c r="AJ256" s="150"/>
      <c r="AT256" s="31" t="str">
        <f>IFERROR(INDEX('G-6 Hedgerow Data'!$BJ$3:$BJ$15,MATCH(M256,'G-6 Hedgerow Data'!$B$3:$B$15,0)),"")</f>
        <v/>
      </c>
    </row>
    <row r="257" spans="2:46" ht="15" thickBot="1" x14ac:dyDescent="0.25">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4"/>
        <v/>
      </c>
      <c r="AB257" s="520" t="str">
        <f>IF(X257="","",IF(AA257="Check Data ⚠","Check Data ⚠",IF(Y257="30+",0,IF(Z257="30+","30+ ⚠",IF(X257+Z257&gt;30,"30+ ⚠",IF(LEFT(AA257,5)="Error ▲","Check Data ⚠",IF(X257+Z257-Y257&gt;0,X257+Z257-Y257,IF(X257-Y257&lt;=0,0,))))))))</f>
        <v/>
      </c>
      <c r="AC257" s="521" t="str">
        <f t="shared" si="21"/>
        <v/>
      </c>
      <c r="AD257" s="499" t="str">
        <f>IF(M257="","",VLOOKUP(M257,'G-6 Hedgerow Data'!$B$3:$AG$15,31,FALSE))</f>
        <v/>
      </c>
      <c r="AE257" s="506" t="str">
        <f t="shared" si="26"/>
        <v/>
      </c>
      <c r="AF257" s="506" t="str">
        <f t="shared" si="27"/>
        <v/>
      </c>
      <c r="AG257" s="500" t="str">
        <f>IFERROR(IF(O257="","",VLOOKUP(AD257,'G-3 Multipliers'!$P$3:$Q$6,2,FALSE)),"")</f>
        <v/>
      </c>
      <c r="AH257" s="479" t="str">
        <f t="shared" si="22"/>
        <v/>
      </c>
      <c r="AI257" s="163"/>
      <c r="AJ257" s="164"/>
      <c r="AT257" s="31" t="str">
        <f>IFERROR(INDEX('G-6 Hedgerow Data'!$BJ$3:$BJ$15,MATCH(M257,'G-6 Hedgerow Data'!$B$3:$B$15,0)),"")</f>
        <v/>
      </c>
    </row>
    <row r="258" spans="2:46" ht="15" thickBot="1" x14ac:dyDescent="0.25">
      <c r="B258" s="46"/>
      <c r="C258" s="46"/>
      <c r="D258" s="46"/>
      <c r="E258" s="46"/>
      <c r="F258" s="46"/>
      <c r="G258" s="46"/>
      <c r="H258" s="46"/>
      <c r="I258" s="46"/>
      <c r="J258" s="46"/>
      <c r="K258" s="46"/>
      <c r="L258" s="46"/>
      <c r="M258" s="46"/>
      <c r="N258" s="46"/>
      <c r="O258" s="427"/>
      <c r="P258" s="502">
        <f>SUM(P12:P257)</f>
        <v>3.7309999999999999</v>
      </c>
      <c r="Q258" s="46"/>
      <c r="R258" s="46"/>
      <c r="S258" s="46"/>
      <c r="T258" s="46"/>
      <c r="U258" s="46"/>
      <c r="V258" s="46"/>
      <c r="W258" s="46"/>
      <c r="X258" s="46"/>
      <c r="Y258" s="46"/>
      <c r="Z258" s="46"/>
      <c r="AA258" s="46"/>
      <c r="AB258" s="46"/>
      <c r="AC258" s="46"/>
      <c r="AD258" s="46"/>
      <c r="AE258" s="46"/>
      <c r="AF258" s="426"/>
      <c r="AG258" s="426"/>
      <c r="AH258" s="502">
        <f ca="1">SUM(AH12:AH257)</f>
        <v>36.090733681409816</v>
      </c>
      <c r="AI258" s="46"/>
      <c r="AJ258" s="46"/>
    </row>
    <row r="259" spans="2:46" ht="14.25" x14ac:dyDescent="0.2"/>
    <row r="260" spans="2:46" ht="14.25" x14ac:dyDescent="0.2"/>
    <row r="261" spans="2:46" ht="14.25" x14ac:dyDescent="0.2"/>
    <row r="262" spans="2:46" ht="14.25" x14ac:dyDescent="0.2"/>
    <row r="263" spans="2:46" ht="14.25" x14ac:dyDescent="0.2"/>
    <row r="264" spans="2:46" ht="14.25" x14ac:dyDescent="0.2"/>
    <row r="265" spans="2:46" ht="14.25" x14ac:dyDescent="0.2"/>
    <row r="266" spans="2:46" ht="14.25" x14ac:dyDescent="0.2"/>
  </sheetData>
  <sheetProtection algorithmName="SHA-512" hashValue="GDjs6x9DUnNCOy6bmrkV5H0JnH7AXm+U1jxqpmKbxxNiGWN7IADmswAR0av/f3D8ygc+6hvuGk/XS+sADiN82g==" saltValue="wuZIY+gSqPLfYLGXePdwW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x14ac:dyDescent="0.25"/>
    <row r="2" spans="2:37" ht="15.75" customHeight="1" thickBot="1" x14ac:dyDescent="0.25">
      <c r="B2" s="743" t="str">
        <f>IF(Start!$F$12="","",Start!$F$12)</f>
        <v>Tyting Farm Mitigation Bank</v>
      </c>
      <c r="C2" s="744"/>
      <c r="D2" s="745"/>
    </row>
    <row r="3" spans="2:37" ht="15.75" customHeight="1" x14ac:dyDescent="0.2">
      <c r="B3" s="974" t="str">
        <f ca="1">MID(CELL("filename",A1),FIND("]",CELL("filename",A1))+1,256)</f>
        <v>E-1 Off Site Hedge Baseline</v>
      </c>
      <c r="C3" s="975"/>
      <c r="D3" s="976"/>
    </row>
    <row r="4" spans="2:37" ht="15.75" customHeight="1" thickBot="1" x14ac:dyDescent="0.25">
      <c r="B4" s="977"/>
      <c r="C4" s="978"/>
      <c r="D4" s="979"/>
    </row>
    <row r="5" spans="2:37" ht="37.9" customHeight="1" x14ac:dyDescent="0.2"/>
    <row r="6" spans="2:37" ht="28.9" customHeight="1" x14ac:dyDescent="0.2"/>
    <row r="7" spans="2:37" ht="15.75" customHeight="1" thickBot="1" x14ac:dyDescent="0.25">
      <c r="B7" s="132"/>
      <c r="C7" s="132"/>
      <c r="D7" s="131"/>
    </row>
    <row r="8" spans="2:37" s="42" customFormat="1" ht="29.25" thickBot="1" x14ac:dyDescent="0.25">
      <c r="B8" s="40"/>
      <c r="C8" s="966" t="s">
        <v>340</v>
      </c>
      <c r="D8" s="967"/>
      <c r="E8" s="968"/>
      <c r="F8" s="966" t="s">
        <v>297</v>
      </c>
      <c r="G8" s="968"/>
      <c r="H8" s="966" t="s">
        <v>298</v>
      </c>
      <c r="I8" s="968"/>
      <c r="J8" s="966" t="s">
        <v>197</v>
      </c>
      <c r="K8" s="967"/>
      <c r="L8" s="968"/>
      <c r="M8" s="969" t="s">
        <v>334</v>
      </c>
      <c r="N8" s="167" t="s">
        <v>199</v>
      </c>
      <c r="O8" s="138"/>
      <c r="P8" s="993" t="s">
        <v>200</v>
      </c>
      <c r="Q8" s="995"/>
      <c r="R8" s="995"/>
      <c r="S8" s="995"/>
      <c r="T8" s="995"/>
      <c r="U8" s="994"/>
      <c r="V8" s="993" t="s">
        <v>202</v>
      </c>
      <c r="W8" s="994"/>
    </row>
    <row r="9" spans="2:37" ht="43.5" thickBot="1" x14ac:dyDescent="0.25">
      <c r="B9" s="135" t="s">
        <v>278</v>
      </c>
      <c r="C9" s="200" t="s">
        <v>318</v>
      </c>
      <c r="D9" s="200" t="s">
        <v>105</v>
      </c>
      <c r="E9" s="201" t="s">
        <v>319</v>
      </c>
      <c r="F9" s="367" t="s">
        <v>195</v>
      </c>
      <c r="G9" s="201" t="s">
        <v>212</v>
      </c>
      <c r="H9" s="367" t="s">
        <v>196</v>
      </c>
      <c r="I9" s="201" t="s">
        <v>212</v>
      </c>
      <c r="J9" s="367" t="s">
        <v>197</v>
      </c>
      <c r="K9" s="200" t="s">
        <v>197</v>
      </c>
      <c r="L9" s="201" t="s">
        <v>255</v>
      </c>
      <c r="M9" s="996"/>
      <c r="N9" s="206" t="s">
        <v>320</v>
      </c>
      <c r="O9" s="138"/>
      <c r="P9" s="405" t="s">
        <v>321</v>
      </c>
      <c r="Q9" s="406" t="s">
        <v>322</v>
      </c>
      <c r="R9" s="407" t="s">
        <v>323</v>
      </c>
      <c r="S9" s="407" t="s">
        <v>324</v>
      </c>
      <c r="T9" s="407" t="s">
        <v>325</v>
      </c>
      <c r="U9" s="408" t="s">
        <v>220</v>
      </c>
      <c r="V9" s="405" t="s">
        <v>221</v>
      </c>
      <c r="W9" s="408" t="s">
        <v>222</v>
      </c>
      <c r="AB9" s="131" t="s">
        <v>206</v>
      </c>
      <c r="AE9" s="156" t="s">
        <v>225</v>
      </c>
      <c r="AF9" s="156" t="s">
        <v>226</v>
      </c>
      <c r="AH9" s="156" t="s">
        <v>228</v>
      </c>
      <c r="AJ9" s="156" t="s">
        <v>225</v>
      </c>
      <c r="AK9" s="156" t="s">
        <v>226</v>
      </c>
    </row>
    <row r="10" spans="2:37" ht="14.25" x14ac:dyDescent="0.2">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25" x14ac:dyDescent="0.2">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25" x14ac:dyDescent="0.2">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25" x14ac:dyDescent="0.2">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25" x14ac:dyDescent="0.2">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25" x14ac:dyDescent="0.2">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25" x14ac:dyDescent="0.2">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25" x14ac:dyDescent="0.2">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25" x14ac:dyDescent="0.2">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25" x14ac:dyDescent="0.2">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25" x14ac:dyDescent="0.2">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25" x14ac:dyDescent="0.2">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25" x14ac:dyDescent="0.2">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25" x14ac:dyDescent="0.2">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25" x14ac:dyDescent="0.2">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25" x14ac:dyDescent="0.2">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25" x14ac:dyDescent="0.2">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25" x14ac:dyDescent="0.2">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25" x14ac:dyDescent="0.2">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25" x14ac:dyDescent="0.2">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25" x14ac:dyDescent="0.2">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25" x14ac:dyDescent="0.2">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25" x14ac:dyDescent="0.2">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25" x14ac:dyDescent="0.2">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25" x14ac:dyDescent="0.2">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25" x14ac:dyDescent="0.2">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25" x14ac:dyDescent="0.2">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25" x14ac:dyDescent="0.2">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25" x14ac:dyDescent="0.2">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25" x14ac:dyDescent="0.2">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25" x14ac:dyDescent="0.2">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25" x14ac:dyDescent="0.2">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25" x14ac:dyDescent="0.2">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25" x14ac:dyDescent="0.2">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25" x14ac:dyDescent="0.2">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25" x14ac:dyDescent="0.2">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25" x14ac:dyDescent="0.2">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25" x14ac:dyDescent="0.2">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25" x14ac:dyDescent="0.2">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25" x14ac:dyDescent="0.2">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25" x14ac:dyDescent="0.2">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25" x14ac:dyDescent="0.2">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25" x14ac:dyDescent="0.2">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25" x14ac:dyDescent="0.2">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25" x14ac:dyDescent="0.2">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25" x14ac:dyDescent="0.2">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25" x14ac:dyDescent="0.2">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25" x14ac:dyDescent="0.2">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25" x14ac:dyDescent="0.2">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25" x14ac:dyDescent="0.2">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25" x14ac:dyDescent="0.2">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25" x14ac:dyDescent="0.2">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25" x14ac:dyDescent="0.2">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25" x14ac:dyDescent="0.2">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25" x14ac:dyDescent="0.2">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25" x14ac:dyDescent="0.2">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25" x14ac:dyDescent="0.2">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25" x14ac:dyDescent="0.2">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25" x14ac:dyDescent="0.2">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25" x14ac:dyDescent="0.2">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25" x14ac:dyDescent="0.2">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25" x14ac:dyDescent="0.2">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25" x14ac:dyDescent="0.2">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25" x14ac:dyDescent="0.2">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25" x14ac:dyDescent="0.2">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25" x14ac:dyDescent="0.2">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25" x14ac:dyDescent="0.2">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25" x14ac:dyDescent="0.2">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25" x14ac:dyDescent="0.2">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25" x14ac:dyDescent="0.2">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25" x14ac:dyDescent="0.2">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25" x14ac:dyDescent="0.2">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25" x14ac:dyDescent="0.2">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25" x14ac:dyDescent="0.2">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25" x14ac:dyDescent="0.2">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25" x14ac:dyDescent="0.2">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25" x14ac:dyDescent="0.2">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25" x14ac:dyDescent="0.2">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25" x14ac:dyDescent="0.2">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25" x14ac:dyDescent="0.2">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25" x14ac:dyDescent="0.2">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25" x14ac:dyDescent="0.2">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25" x14ac:dyDescent="0.2">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25" x14ac:dyDescent="0.2">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25" x14ac:dyDescent="0.2">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25" x14ac:dyDescent="0.2">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25" x14ac:dyDescent="0.2">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25" x14ac:dyDescent="0.2">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25" x14ac:dyDescent="0.2">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25" x14ac:dyDescent="0.2">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25" x14ac:dyDescent="0.2">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25" x14ac:dyDescent="0.2">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25" x14ac:dyDescent="0.2">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25" x14ac:dyDescent="0.2">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25" x14ac:dyDescent="0.2">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25" x14ac:dyDescent="0.2">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25" x14ac:dyDescent="0.2">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25" x14ac:dyDescent="0.2">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25" x14ac:dyDescent="0.2">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25" x14ac:dyDescent="0.2">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25" x14ac:dyDescent="0.2">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25" x14ac:dyDescent="0.2">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25" x14ac:dyDescent="0.2">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25" x14ac:dyDescent="0.2">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25" x14ac:dyDescent="0.2">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25" x14ac:dyDescent="0.2">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25" x14ac:dyDescent="0.2">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25" x14ac:dyDescent="0.2">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25" x14ac:dyDescent="0.2">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25" x14ac:dyDescent="0.2">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25" x14ac:dyDescent="0.2">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25" x14ac:dyDescent="0.2">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25" x14ac:dyDescent="0.2">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25" x14ac:dyDescent="0.2">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25" x14ac:dyDescent="0.2">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25" x14ac:dyDescent="0.2">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25" x14ac:dyDescent="0.2">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25" x14ac:dyDescent="0.2">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25" x14ac:dyDescent="0.2">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25" x14ac:dyDescent="0.2">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25" x14ac:dyDescent="0.2">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25" x14ac:dyDescent="0.2">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25" x14ac:dyDescent="0.2">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25" x14ac:dyDescent="0.2">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25" x14ac:dyDescent="0.2">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25" x14ac:dyDescent="0.2">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25" x14ac:dyDescent="0.2">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25" x14ac:dyDescent="0.2">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25" x14ac:dyDescent="0.2">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25" x14ac:dyDescent="0.2">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25" x14ac:dyDescent="0.2">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25" x14ac:dyDescent="0.2">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25" x14ac:dyDescent="0.2">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25" x14ac:dyDescent="0.2">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25" x14ac:dyDescent="0.2">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25" x14ac:dyDescent="0.2">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25" x14ac:dyDescent="0.2">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25" x14ac:dyDescent="0.2">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25" x14ac:dyDescent="0.2">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25" x14ac:dyDescent="0.2">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25" x14ac:dyDescent="0.2">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25" x14ac:dyDescent="0.2">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25" x14ac:dyDescent="0.2">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25" x14ac:dyDescent="0.2">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25" x14ac:dyDescent="0.2">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25" x14ac:dyDescent="0.2">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25" x14ac:dyDescent="0.2">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25" x14ac:dyDescent="0.2">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25" x14ac:dyDescent="0.2">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25" x14ac:dyDescent="0.2">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25" x14ac:dyDescent="0.2">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25" x14ac:dyDescent="0.2">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25" x14ac:dyDescent="0.2">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25" x14ac:dyDescent="0.2">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25" x14ac:dyDescent="0.2">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25" x14ac:dyDescent="0.2">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25" x14ac:dyDescent="0.2">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25" x14ac:dyDescent="0.2">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25" x14ac:dyDescent="0.2">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25" x14ac:dyDescent="0.2">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25" x14ac:dyDescent="0.2">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25" x14ac:dyDescent="0.2">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25" x14ac:dyDescent="0.2">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25" x14ac:dyDescent="0.2">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25" x14ac:dyDescent="0.2">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25" x14ac:dyDescent="0.2">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25" x14ac:dyDescent="0.2">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25" x14ac:dyDescent="0.2">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25" x14ac:dyDescent="0.2">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25" x14ac:dyDescent="0.2">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25" x14ac:dyDescent="0.2">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25" x14ac:dyDescent="0.2">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25" x14ac:dyDescent="0.2">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25" x14ac:dyDescent="0.2">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25" x14ac:dyDescent="0.2">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25" x14ac:dyDescent="0.2">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25" x14ac:dyDescent="0.2">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25" x14ac:dyDescent="0.2">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25" x14ac:dyDescent="0.2">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25" x14ac:dyDescent="0.2">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25" x14ac:dyDescent="0.2">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25" x14ac:dyDescent="0.2">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25" x14ac:dyDescent="0.2">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25" x14ac:dyDescent="0.2">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25" x14ac:dyDescent="0.2">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25" x14ac:dyDescent="0.2">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25" x14ac:dyDescent="0.2">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25" x14ac:dyDescent="0.2">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25" x14ac:dyDescent="0.2">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25" x14ac:dyDescent="0.2">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25" x14ac:dyDescent="0.2">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25" x14ac:dyDescent="0.2">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25" x14ac:dyDescent="0.2">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25" x14ac:dyDescent="0.2">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25" x14ac:dyDescent="0.2">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25" x14ac:dyDescent="0.2">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25" x14ac:dyDescent="0.2">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25" x14ac:dyDescent="0.2">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25" x14ac:dyDescent="0.2">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25" x14ac:dyDescent="0.2">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25" x14ac:dyDescent="0.2">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25" x14ac:dyDescent="0.2">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25" x14ac:dyDescent="0.2">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25" x14ac:dyDescent="0.2">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25" x14ac:dyDescent="0.2">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25" x14ac:dyDescent="0.2">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25" x14ac:dyDescent="0.2">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25" x14ac:dyDescent="0.2">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25" x14ac:dyDescent="0.2">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25" x14ac:dyDescent="0.2">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25" x14ac:dyDescent="0.2">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25" x14ac:dyDescent="0.2">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25" x14ac:dyDescent="0.2">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25" x14ac:dyDescent="0.2">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25" x14ac:dyDescent="0.2">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25" x14ac:dyDescent="0.2">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25" x14ac:dyDescent="0.2">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25" x14ac:dyDescent="0.2">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25" x14ac:dyDescent="0.2">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25" x14ac:dyDescent="0.2">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25" x14ac:dyDescent="0.2">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25" x14ac:dyDescent="0.2">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25" x14ac:dyDescent="0.2">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25" x14ac:dyDescent="0.2">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25" x14ac:dyDescent="0.2">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25" x14ac:dyDescent="0.2">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25" x14ac:dyDescent="0.2">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25" x14ac:dyDescent="0.2">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25" x14ac:dyDescent="0.2">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25" x14ac:dyDescent="0.2">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25" x14ac:dyDescent="0.2">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25" x14ac:dyDescent="0.2">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25" x14ac:dyDescent="0.2">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25" x14ac:dyDescent="0.2">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25" x14ac:dyDescent="0.2">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25" x14ac:dyDescent="0.2">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25" x14ac:dyDescent="0.2">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25" x14ac:dyDescent="0.2">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25" x14ac:dyDescent="0.2">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25" x14ac:dyDescent="0.2">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25" x14ac:dyDescent="0.2">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25" x14ac:dyDescent="0.2">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25" x14ac:dyDescent="0.2">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25" x14ac:dyDescent="0.2">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25" x14ac:dyDescent="0.2">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25" x14ac:dyDescent="0.2">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25" x14ac:dyDescent="0.2">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 thickBot="1" x14ac:dyDescent="0.25">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 thickBot="1" x14ac:dyDescent="0.25">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4.25" x14ac:dyDescent="0.2">
      <c r="O259" s="166"/>
      <c r="P259" s="166"/>
      <c r="Q259" s="166"/>
      <c r="R259" s="166"/>
      <c r="S259" s="166"/>
      <c r="T259" s="166"/>
      <c r="U259" s="166"/>
    </row>
    <row r="260" spans="2:37" ht="14.25" x14ac:dyDescent="0.2">
      <c r="B260" s="132"/>
      <c r="C260" s="132"/>
    </row>
    <row r="261" spans="2:37" ht="14.25" x14ac:dyDescent="0.2">
      <c r="B261" s="132"/>
      <c r="C261" s="132"/>
    </row>
    <row r="262" spans="2:37" ht="14.25" x14ac:dyDescent="0.2">
      <c r="B262" s="132"/>
      <c r="C262" s="132"/>
    </row>
    <row r="263" spans="2:37" ht="14.25" x14ac:dyDescent="0.2">
      <c r="B263" s="132"/>
      <c r="C263" s="132"/>
    </row>
    <row r="264" spans="2:37" ht="14.25" x14ac:dyDescent="0.2">
      <c r="B264" s="132"/>
      <c r="C264" s="132"/>
    </row>
    <row r="265" spans="2:37" ht="14.25" x14ac:dyDescent="0.2">
      <c r="B265" s="132"/>
      <c r="C265" s="132"/>
    </row>
    <row r="266" spans="2:37" ht="14.25" x14ac:dyDescent="0.2">
      <c r="B266" s="132"/>
      <c r="C266" s="132"/>
    </row>
    <row r="267" spans="2:37" ht="14.25" hidden="1" x14ac:dyDescent="0.2">
      <c r="B267" s="132"/>
      <c r="C267" s="132"/>
    </row>
    <row r="268" spans="2:37" ht="14.25" hidden="1" x14ac:dyDescent="0.2">
      <c r="B268" s="132"/>
      <c r="C268" s="132"/>
    </row>
    <row r="269" spans="2:37" ht="14.25" hidden="1" x14ac:dyDescent="0.2">
      <c r="B269" s="132"/>
      <c r="C269" s="132"/>
    </row>
    <row r="270" spans="2:37" ht="14.25" hidden="1" x14ac:dyDescent="0.2">
      <c r="B270" s="132"/>
      <c r="C270" s="132"/>
    </row>
    <row r="271" spans="2:37" ht="14.25" hidden="1" x14ac:dyDescent="0.2">
      <c r="B271" s="132"/>
      <c r="C271" s="132"/>
    </row>
    <row r="272" spans="2:37" ht="14.25" hidden="1" x14ac:dyDescent="0.2">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x14ac:dyDescent="0.25"/>
    <row r="2" spans="2:33" ht="15.75" customHeight="1" thickBot="1" x14ac:dyDescent="0.25">
      <c r="B2" s="743" t="str">
        <f>IF(Start!$F$12="","",Start!$F$12)</f>
        <v>Tyting Farm Mitigation Bank</v>
      </c>
      <c r="C2" s="744"/>
      <c r="D2" s="744"/>
      <c r="E2" s="745"/>
      <c r="O2" s="908" t="str">
        <f>IF(OR(COUNTIF($O$12:O259,"*30+*")&gt;0,COUNTIF($S$12:S259,"*30+*")&gt;0),"Note; Habitat selected has a time to target condition greater than 30 years. Non standard agreement may be required. ⚠","")</f>
        <v/>
      </c>
      <c r="P2" s="908"/>
      <c r="Q2" s="908"/>
      <c r="R2" s="908"/>
      <c r="S2" s="908"/>
      <c r="T2" s="908"/>
    </row>
    <row r="3" spans="2:33" ht="15.75" customHeight="1" thickBot="1" x14ac:dyDescent="0.25">
      <c r="B3" s="999" t="str">
        <f ca="1">MID(CELL("filename",A1),FIND("]",CELL("filename",A1))+1,256)</f>
        <v>E-2 Off Site Hedge Creation</v>
      </c>
      <c r="C3" s="1000"/>
      <c r="D3" s="1000"/>
      <c r="E3" s="1001"/>
      <c r="O3" s="908"/>
      <c r="P3" s="908"/>
      <c r="Q3" s="908"/>
      <c r="R3" s="908"/>
      <c r="S3" s="908"/>
      <c r="T3" s="908"/>
    </row>
    <row r="4" spans="2:33" ht="15.75" customHeight="1" thickBot="1" x14ac:dyDescent="0.25">
      <c r="B4" s="999"/>
      <c r="C4" s="1000"/>
      <c r="D4" s="1000"/>
      <c r="E4" s="1001"/>
      <c r="O4" s="908"/>
      <c r="P4" s="908"/>
      <c r="Q4" s="908"/>
      <c r="R4" s="908"/>
      <c r="S4" s="908"/>
      <c r="T4" s="908"/>
    </row>
    <row r="5" spans="2:33" ht="15.75" customHeight="1" x14ac:dyDescent="0.2">
      <c r="O5" s="908"/>
      <c r="P5" s="908"/>
      <c r="Q5" s="908"/>
      <c r="R5" s="908"/>
      <c r="S5" s="908"/>
      <c r="T5" s="908"/>
    </row>
    <row r="6" spans="2:33" ht="15.75" customHeight="1" x14ac:dyDescent="0.2">
      <c r="O6" s="402"/>
      <c r="P6" s="402"/>
      <c r="Q6" s="402"/>
      <c r="R6" s="402"/>
      <c r="S6" s="402"/>
    </row>
    <row r="7" spans="2:33" ht="15.75" customHeight="1" x14ac:dyDescent="0.2">
      <c r="B7" s="132"/>
      <c r="C7" s="132"/>
    </row>
    <row r="8" spans="2:33" ht="14.25" x14ac:dyDescent="0.2">
      <c r="J8" s="131"/>
      <c r="K8" s="131"/>
      <c r="L8" s="131"/>
      <c r="M8" s="131"/>
      <c r="N8" s="131"/>
      <c r="O8" s="131"/>
      <c r="P8" s="131"/>
      <c r="Q8" s="131"/>
      <c r="R8" s="131"/>
      <c r="S8" s="131"/>
      <c r="T8" s="131"/>
      <c r="V8" s="131"/>
      <c r="W8" s="131"/>
      <c r="X8" s="131"/>
    </row>
    <row r="9" spans="2:33" ht="15.75" customHeight="1" thickBot="1" x14ac:dyDescent="0.25">
      <c r="J9" s="131"/>
      <c r="K9" s="131"/>
      <c r="L9" s="131"/>
      <c r="M9" s="138"/>
      <c r="N9" s="138"/>
      <c r="O9" s="199"/>
      <c r="P9" s="199"/>
      <c r="Q9" s="199"/>
      <c r="R9" s="199"/>
      <c r="S9" s="199"/>
      <c r="T9" s="199"/>
      <c r="U9" s="199"/>
      <c r="V9" s="199"/>
      <c r="W9" s="199"/>
      <c r="X9" s="199"/>
    </row>
    <row r="10" spans="2:33" s="42" customFormat="1" ht="30" customHeight="1" thickBot="1" x14ac:dyDescent="0.25">
      <c r="B10" s="40"/>
      <c r="C10" s="40"/>
      <c r="D10" s="966" t="s">
        <v>326</v>
      </c>
      <c r="E10" s="968"/>
      <c r="F10" s="966" t="s">
        <v>297</v>
      </c>
      <c r="G10" s="968"/>
      <c r="H10" s="967" t="s">
        <v>298</v>
      </c>
      <c r="I10" s="968"/>
      <c r="J10" s="966" t="s">
        <v>197</v>
      </c>
      <c r="K10" s="967"/>
      <c r="L10" s="968"/>
      <c r="M10" s="966" t="s">
        <v>305</v>
      </c>
      <c r="N10" s="968"/>
      <c r="O10" s="966" t="s">
        <v>252</v>
      </c>
      <c r="P10" s="967"/>
      <c r="Q10" s="967"/>
      <c r="R10" s="967"/>
      <c r="S10" s="967"/>
      <c r="T10" s="968"/>
      <c r="U10" s="966" t="s">
        <v>276</v>
      </c>
      <c r="V10" s="967"/>
      <c r="W10" s="967"/>
      <c r="X10" s="968"/>
      <c r="Y10" s="969" t="s">
        <v>327</v>
      </c>
      <c r="Z10" s="966" t="s">
        <v>202</v>
      </c>
      <c r="AA10" s="968"/>
    </row>
    <row r="11" spans="2:33" ht="71.25" x14ac:dyDescent="0.2">
      <c r="B11" s="135" t="s">
        <v>278</v>
      </c>
      <c r="C11" s="136" t="s">
        <v>328</v>
      </c>
      <c r="D11" s="200" t="s">
        <v>300</v>
      </c>
      <c r="E11" s="201" t="s">
        <v>341</v>
      </c>
      <c r="F11" s="411" t="s">
        <v>195</v>
      </c>
      <c r="G11" s="412" t="s">
        <v>212</v>
      </c>
      <c r="H11" s="413" t="s">
        <v>196</v>
      </c>
      <c r="I11" s="412" t="s">
        <v>212</v>
      </c>
      <c r="J11" s="367" t="s">
        <v>197</v>
      </c>
      <c r="K11" s="200" t="s">
        <v>197</v>
      </c>
      <c r="L11" s="201" t="s">
        <v>255</v>
      </c>
      <c r="M11" s="367" t="s">
        <v>308</v>
      </c>
      <c r="N11" s="201" t="s">
        <v>305</v>
      </c>
      <c r="O11" s="367" t="s">
        <v>329</v>
      </c>
      <c r="P11" s="200" t="s">
        <v>257</v>
      </c>
      <c r="Q11" s="200" t="s">
        <v>258</v>
      </c>
      <c r="R11" s="200" t="s">
        <v>259</v>
      </c>
      <c r="S11" s="200" t="s">
        <v>260</v>
      </c>
      <c r="T11" s="201" t="s">
        <v>337</v>
      </c>
      <c r="U11" s="367" t="s">
        <v>262</v>
      </c>
      <c r="V11" s="200" t="s">
        <v>330</v>
      </c>
      <c r="W11" s="200" t="s">
        <v>264</v>
      </c>
      <c r="X11" s="201" t="s">
        <v>265</v>
      </c>
      <c r="Y11" s="998"/>
      <c r="Z11" s="141" t="s">
        <v>221</v>
      </c>
      <c r="AA11" s="358" t="s">
        <v>222</v>
      </c>
      <c r="AG11" s="131" t="s">
        <v>206</v>
      </c>
    </row>
    <row r="12" spans="2:33" ht="14.25" x14ac:dyDescent="0.2">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4.25" x14ac:dyDescent="0.2">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4.25" x14ac:dyDescent="0.2">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4.25" x14ac:dyDescent="0.2">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4.25" x14ac:dyDescent="0.2">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4.25" x14ac:dyDescent="0.2">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4.25" x14ac:dyDescent="0.2">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4.25" x14ac:dyDescent="0.2">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4.25" x14ac:dyDescent="0.2">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4.25" x14ac:dyDescent="0.2">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4.25" x14ac:dyDescent="0.2">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4.25" x14ac:dyDescent="0.2">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4.25" x14ac:dyDescent="0.2">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4.25" x14ac:dyDescent="0.2">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4.25" x14ac:dyDescent="0.2">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4.25" x14ac:dyDescent="0.2">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4.25" x14ac:dyDescent="0.2">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4.25" x14ac:dyDescent="0.2">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4.25" x14ac:dyDescent="0.2">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4.25" x14ac:dyDescent="0.2">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4.25" x14ac:dyDescent="0.2">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4.25" x14ac:dyDescent="0.2">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4.25" x14ac:dyDescent="0.2">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4.25" x14ac:dyDescent="0.2">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4.25" x14ac:dyDescent="0.2">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4.25" x14ac:dyDescent="0.2">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4.25" x14ac:dyDescent="0.2">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4.25" x14ac:dyDescent="0.2">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4.25" x14ac:dyDescent="0.2">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4.25" x14ac:dyDescent="0.2">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4.25" x14ac:dyDescent="0.2">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4.25" x14ac:dyDescent="0.2">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4.25" x14ac:dyDescent="0.2">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4.25" x14ac:dyDescent="0.2">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4.25" x14ac:dyDescent="0.2">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4.25" x14ac:dyDescent="0.2">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4.25" x14ac:dyDescent="0.2">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4.25" x14ac:dyDescent="0.2">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4.25" x14ac:dyDescent="0.2">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4.25" x14ac:dyDescent="0.2">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4.25" x14ac:dyDescent="0.2">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4.25" x14ac:dyDescent="0.2">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4.25" x14ac:dyDescent="0.2">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4.25" x14ac:dyDescent="0.2">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4.25" x14ac:dyDescent="0.2">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4.25" x14ac:dyDescent="0.2">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4.25" x14ac:dyDescent="0.2">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4.25" x14ac:dyDescent="0.2">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4.25" x14ac:dyDescent="0.2">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4.25" x14ac:dyDescent="0.2">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4.25" x14ac:dyDescent="0.2">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4.25" x14ac:dyDescent="0.2">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4.25" x14ac:dyDescent="0.2">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4.25" x14ac:dyDescent="0.2">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4.25" x14ac:dyDescent="0.2">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4.25" x14ac:dyDescent="0.2">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4.25" x14ac:dyDescent="0.2">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4.25" x14ac:dyDescent="0.2">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4.25" x14ac:dyDescent="0.2">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4.25" x14ac:dyDescent="0.2">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4.25" x14ac:dyDescent="0.2">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4.25" x14ac:dyDescent="0.2">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4.25" x14ac:dyDescent="0.2">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4.25" x14ac:dyDescent="0.2">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4.25" x14ac:dyDescent="0.2">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4.25" x14ac:dyDescent="0.2">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4.25" x14ac:dyDescent="0.2">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4.25" x14ac:dyDescent="0.2">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4.25" x14ac:dyDescent="0.2">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4.25" x14ac:dyDescent="0.2">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4.25" x14ac:dyDescent="0.2">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4.25" x14ac:dyDescent="0.2">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4.25" x14ac:dyDescent="0.2">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4.25" x14ac:dyDescent="0.2">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4.25" x14ac:dyDescent="0.2">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4.25" x14ac:dyDescent="0.2">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4.25" x14ac:dyDescent="0.2">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4.25" x14ac:dyDescent="0.2">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4.25" x14ac:dyDescent="0.2">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4.25" x14ac:dyDescent="0.2">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4.25" x14ac:dyDescent="0.2">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4.25" x14ac:dyDescent="0.2">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4.25" x14ac:dyDescent="0.2">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4.25" x14ac:dyDescent="0.2">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4.25" x14ac:dyDescent="0.2">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4.25" x14ac:dyDescent="0.2">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4.25" x14ac:dyDescent="0.2">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4.25" x14ac:dyDescent="0.2">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4.25" x14ac:dyDescent="0.2">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4.25" x14ac:dyDescent="0.2">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4.25" x14ac:dyDescent="0.2">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4.25" x14ac:dyDescent="0.2">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4.25" x14ac:dyDescent="0.2">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4.25" x14ac:dyDescent="0.2">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4.25" x14ac:dyDescent="0.2">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4.25" x14ac:dyDescent="0.2">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4.25" x14ac:dyDescent="0.2">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4.25" x14ac:dyDescent="0.2">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4.25" x14ac:dyDescent="0.2">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4.25" x14ac:dyDescent="0.2">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4.25" x14ac:dyDescent="0.2">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4.25" x14ac:dyDescent="0.2">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4.25" x14ac:dyDescent="0.2">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4.25" x14ac:dyDescent="0.2">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4.25" x14ac:dyDescent="0.2">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4.25" x14ac:dyDescent="0.2">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4.25" x14ac:dyDescent="0.2">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4.25" x14ac:dyDescent="0.2">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4.25" x14ac:dyDescent="0.2">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4.25" x14ac:dyDescent="0.2">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4.25" x14ac:dyDescent="0.2">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4.25" x14ac:dyDescent="0.2">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4.25" x14ac:dyDescent="0.2">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4.25" x14ac:dyDescent="0.2">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4.25" x14ac:dyDescent="0.2">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4.25" x14ac:dyDescent="0.2">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4.25" x14ac:dyDescent="0.2">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4.25" x14ac:dyDescent="0.2">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4.25" x14ac:dyDescent="0.2">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4.25" x14ac:dyDescent="0.2">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4.25" x14ac:dyDescent="0.2">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4.25" x14ac:dyDescent="0.2">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4.25" x14ac:dyDescent="0.2">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4.25" x14ac:dyDescent="0.2">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4.25" x14ac:dyDescent="0.2">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4.25" x14ac:dyDescent="0.2">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4.25" x14ac:dyDescent="0.2">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4.25" x14ac:dyDescent="0.2">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4.25" x14ac:dyDescent="0.2">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4.25" x14ac:dyDescent="0.2">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4.25" x14ac:dyDescent="0.2">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4.25" x14ac:dyDescent="0.2">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4.25" x14ac:dyDescent="0.2">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4.25" x14ac:dyDescent="0.2">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4.25" x14ac:dyDescent="0.2">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4.25" x14ac:dyDescent="0.2">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4.25" x14ac:dyDescent="0.2">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4.25" x14ac:dyDescent="0.2">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4.25" x14ac:dyDescent="0.2">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4.25" x14ac:dyDescent="0.2">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4.25" x14ac:dyDescent="0.2">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4.25" x14ac:dyDescent="0.2">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4.25" x14ac:dyDescent="0.2">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4.25" x14ac:dyDescent="0.2">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4.25" x14ac:dyDescent="0.2">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4.25" x14ac:dyDescent="0.2">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4.25" x14ac:dyDescent="0.2">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4.25" x14ac:dyDescent="0.2">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4.25" x14ac:dyDescent="0.2">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4.25" x14ac:dyDescent="0.2">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4.25" x14ac:dyDescent="0.2">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4.25" x14ac:dyDescent="0.2">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4.25" x14ac:dyDescent="0.2">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4.25" x14ac:dyDescent="0.2">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4.25" x14ac:dyDescent="0.2">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4.25" x14ac:dyDescent="0.2">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4.25" x14ac:dyDescent="0.2">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4.25" x14ac:dyDescent="0.2">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4.25" x14ac:dyDescent="0.2">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4.25" x14ac:dyDescent="0.2">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4.25" x14ac:dyDescent="0.2">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4.25" x14ac:dyDescent="0.2">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4.25" x14ac:dyDescent="0.2">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4.25" x14ac:dyDescent="0.2">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4.25" x14ac:dyDescent="0.2">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4.25" x14ac:dyDescent="0.2">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4.25" x14ac:dyDescent="0.2">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4.25" x14ac:dyDescent="0.2">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4.25" x14ac:dyDescent="0.2">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4.25" x14ac:dyDescent="0.2">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4.25" x14ac:dyDescent="0.2">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4.25" x14ac:dyDescent="0.2">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4.25" x14ac:dyDescent="0.2">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4.25" x14ac:dyDescent="0.2">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4.25" x14ac:dyDescent="0.2">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4.25" x14ac:dyDescent="0.2">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4.25" x14ac:dyDescent="0.2">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4.25" x14ac:dyDescent="0.2">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4.25" x14ac:dyDescent="0.2">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4.25" x14ac:dyDescent="0.2">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4.25" x14ac:dyDescent="0.2">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4.25" x14ac:dyDescent="0.2">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4.25" x14ac:dyDescent="0.2">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4.25" x14ac:dyDescent="0.2">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4.25" x14ac:dyDescent="0.2">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4.25" x14ac:dyDescent="0.2">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4.25" x14ac:dyDescent="0.2">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4.25" x14ac:dyDescent="0.2">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4.25" x14ac:dyDescent="0.2">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4.25" x14ac:dyDescent="0.2">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4.25" x14ac:dyDescent="0.2">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4.25" x14ac:dyDescent="0.2">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4.25" x14ac:dyDescent="0.2">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4.25" x14ac:dyDescent="0.2">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4.25" x14ac:dyDescent="0.2">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4.25" x14ac:dyDescent="0.2">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4.25" x14ac:dyDescent="0.2">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4.25" x14ac:dyDescent="0.2">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4.25" x14ac:dyDescent="0.2">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4.25" x14ac:dyDescent="0.2">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4.25" x14ac:dyDescent="0.2">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4.25" x14ac:dyDescent="0.2">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4.25" x14ac:dyDescent="0.2">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4.25" x14ac:dyDescent="0.2">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4.25" x14ac:dyDescent="0.2">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4.25" x14ac:dyDescent="0.2">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4.25" x14ac:dyDescent="0.2">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4.25" x14ac:dyDescent="0.2">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4.25" x14ac:dyDescent="0.2">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4.25" x14ac:dyDescent="0.2">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4.25" x14ac:dyDescent="0.2">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4.25" x14ac:dyDescent="0.2">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4.25" x14ac:dyDescent="0.2">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4.25" x14ac:dyDescent="0.2">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4.25" x14ac:dyDescent="0.2">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4.25" x14ac:dyDescent="0.2">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4.25" x14ac:dyDescent="0.2">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4.25" x14ac:dyDescent="0.2">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4.25" x14ac:dyDescent="0.2">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4.25" x14ac:dyDescent="0.2">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4.25" x14ac:dyDescent="0.2">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4.25" x14ac:dyDescent="0.2">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4.25" x14ac:dyDescent="0.2">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4.25" x14ac:dyDescent="0.2">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4.25" x14ac:dyDescent="0.2">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4.25" x14ac:dyDescent="0.2">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4.25" x14ac:dyDescent="0.2">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4.25" x14ac:dyDescent="0.2">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4.25" x14ac:dyDescent="0.2">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4.25" x14ac:dyDescent="0.2">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4.25" x14ac:dyDescent="0.2">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4.25" x14ac:dyDescent="0.2">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4.25" x14ac:dyDescent="0.2">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4.25" x14ac:dyDescent="0.2">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4.25" x14ac:dyDescent="0.2">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4.25" x14ac:dyDescent="0.2">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4.25" x14ac:dyDescent="0.2">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4.25" x14ac:dyDescent="0.2">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4.25" x14ac:dyDescent="0.2">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4.25" x14ac:dyDescent="0.2">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4.25" x14ac:dyDescent="0.2">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4.25" x14ac:dyDescent="0.2">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4.25" x14ac:dyDescent="0.2">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4.25" x14ac:dyDescent="0.2">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4.25" x14ac:dyDescent="0.2">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4.25" x14ac:dyDescent="0.2">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4.25" x14ac:dyDescent="0.2">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5" thickBot="1" x14ac:dyDescent="0.25">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5" thickBot="1" x14ac:dyDescent="0.25">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7"/>
      <c r="X260" s="997"/>
      <c r="Y260" s="502">
        <f>SUM(Y12:Y259)</f>
        <v>0</v>
      </c>
      <c r="Z260" s="46"/>
      <c r="AA260" s="46"/>
    </row>
    <row r="261" spans="2:33" ht="28.9" customHeight="1" x14ac:dyDescent="0.2">
      <c r="E261" s="980"/>
      <c r="F261" s="980"/>
      <c r="G261" s="980"/>
      <c r="H261" s="980"/>
      <c r="I261" s="980"/>
      <c r="J261" s="980"/>
    </row>
    <row r="262" spans="2:33" ht="27" customHeight="1" x14ac:dyDescent="0.2"/>
    <row r="263" spans="2:33" ht="14.25" x14ac:dyDescent="0.2"/>
    <row r="264" spans="2:33" ht="14.25" x14ac:dyDescent="0.2"/>
    <row r="265" spans="2:33" ht="14.25" x14ac:dyDescent="0.2"/>
    <row r="266" spans="2:33" ht="14.25" hidden="1" x14ac:dyDescent="0.2"/>
    <row r="267" spans="2:33" ht="14.25" hidden="1" x14ac:dyDescent="0.2"/>
    <row r="268" spans="2:33" ht="14.25" hidden="1" x14ac:dyDescent="0.2"/>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zoomScaleNormal="100" workbookViewId="0">
      <selection activeCell="K20" sqref="K20"/>
    </sheetView>
  </sheetViews>
  <sheetFormatPr defaultColWidth="0" defaultRowHeight="0" customHeight="1" zeroHeight="1" x14ac:dyDescent="0.2"/>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x14ac:dyDescent="0.4">
      <c r="B1" s="12"/>
      <c r="C1" s="12"/>
      <c r="E1" s="13"/>
      <c r="F1" s="669"/>
      <c r="G1" s="669"/>
      <c r="H1" s="669"/>
      <c r="I1" s="669"/>
      <c r="J1" s="669"/>
      <c r="K1" s="670"/>
      <c r="L1" s="670"/>
      <c r="M1" s="670"/>
      <c r="N1" s="670"/>
      <c r="O1" s="670"/>
      <c r="P1" s="670"/>
    </row>
    <row r="2" spans="1:19" ht="15.75" customHeight="1" x14ac:dyDescent="0.4">
      <c r="B2" s="12"/>
      <c r="C2" s="12"/>
      <c r="E2" s="13"/>
    </row>
    <row r="3" spans="1:19" ht="15.75" customHeight="1" x14ac:dyDescent="0.4">
      <c r="A3" s="13"/>
      <c r="B3" s="13"/>
      <c r="C3" s="13"/>
      <c r="D3" s="13"/>
      <c r="E3" s="13"/>
      <c r="F3" s="671"/>
      <c r="G3" s="671"/>
      <c r="H3" s="671"/>
      <c r="I3" s="671"/>
      <c r="J3" s="671"/>
      <c r="K3" s="671"/>
      <c r="L3" s="671"/>
      <c r="M3" s="671"/>
      <c r="N3" s="671"/>
      <c r="O3" s="671"/>
      <c r="P3" s="671"/>
      <c r="Q3" s="671"/>
    </row>
    <row r="4" spans="1:19" ht="16.5" customHeight="1" x14ac:dyDescent="0.4">
      <c r="A4" s="13"/>
      <c r="B4" s="13"/>
      <c r="C4" s="13"/>
      <c r="D4" s="13"/>
      <c r="E4" s="13"/>
      <c r="F4" s="671"/>
      <c r="G4" s="671"/>
      <c r="H4" s="671"/>
      <c r="I4" s="671"/>
      <c r="J4" s="671"/>
      <c r="K4" s="671"/>
      <c r="L4" s="671"/>
      <c r="M4" s="671"/>
      <c r="N4" s="671"/>
      <c r="O4" s="671"/>
      <c r="P4" s="671"/>
      <c r="Q4" s="671"/>
    </row>
    <row r="5" spans="1:19" ht="16.5" customHeight="1" x14ac:dyDescent="0.4">
      <c r="A5" s="13"/>
      <c r="B5" s="13"/>
      <c r="C5" s="13"/>
      <c r="D5" s="13"/>
      <c r="E5" s="13"/>
      <c r="F5" s="14"/>
      <c r="G5" s="14"/>
      <c r="H5" s="14"/>
      <c r="I5" s="14"/>
      <c r="J5" s="14"/>
      <c r="K5" s="14"/>
      <c r="L5" s="14"/>
      <c r="M5" s="14"/>
      <c r="N5" s="14"/>
      <c r="O5" s="14"/>
      <c r="P5" s="14"/>
      <c r="Q5" s="14"/>
      <c r="R5" s="14"/>
      <c r="S5" s="14"/>
    </row>
    <row r="6" spans="1:19" ht="16.5" customHeight="1" x14ac:dyDescent="0.4">
      <c r="B6" s="12"/>
      <c r="C6" s="12"/>
      <c r="D6" s="13"/>
      <c r="E6" s="13"/>
      <c r="F6" s="14"/>
      <c r="G6" s="14"/>
      <c r="H6" s="14"/>
      <c r="I6" s="14"/>
      <c r="J6" s="14"/>
      <c r="K6" s="14"/>
      <c r="L6" s="14"/>
      <c r="M6" s="14"/>
      <c r="N6" s="14"/>
      <c r="O6" s="14"/>
      <c r="P6" s="14"/>
      <c r="Q6" s="14"/>
      <c r="R6" s="14"/>
      <c r="S6" s="14"/>
    </row>
    <row r="7" spans="1:19" ht="16.5" customHeight="1" x14ac:dyDescent="0.4">
      <c r="B7" s="12"/>
      <c r="C7" s="13"/>
      <c r="D7" s="13"/>
      <c r="E7" s="13"/>
      <c r="F7" s="14"/>
      <c r="G7" s="14"/>
      <c r="H7" s="14"/>
      <c r="I7" s="14"/>
      <c r="J7" s="14"/>
      <c r="K7" s="14"/>
      <c r="L7" s="14"/>
      <c r="M7" s="14"/>
      <c r="N7" s="14"/>
      <c r="O7" s="14"/>
      <c r="P7" s="14"/>
      <c r="Q7" s="14"/>
      <c r="R7" s="14"/>
      <c r="S7" s="14"/>
    </row>
    <row r="8" spans="1:19" ht="23.45" customHeight="1" thickBot="1" x14ac:dyDescent="0.45">
      <c r="B8" s="12"/>
      <c r="C8" s="12"/>
      <c r="D8" s="13"/>
      <c r="E8" s="677"/>
      <c r="F8" s="677"/>
      <c r="G8" s="677"/>
      <c r="H8" s="677"/>
      <c r="I8" s="677"/>
      <c r="J8" s="677"/>
      <c r="K8" s="14"/>
      <c r="L8" s="14"/>
      <c r="M8" s="14"/>
      <c r="N8" s="14"/>
      <c r="O8" s="14"/>
      <c r="P8" s="14"/>
      <c r="Q8" s="14"/>
      <c r="R8" s="14"/>
      <c r="S8" s="14"/>
    </row>
    <row r="9" spans="1:19" ht="23.45" customHeight="1" x14ac:dyDescent="0.2">
      <c r="B9" s="12"/>
      <c r="D9" s="686" t="s">
        <v>0</v>
      </c>
      <c r="E9" s="687"/>
      <c r="F9" s="687"/>
      <c r="G9" s="687"/>
      <c r="H9" s="687"/>
      <c r="I9" s="687"/>
      <c r="J9" s="688"/>
      <c r="K9" s="14"/>
      <c r="L9" s="14"/>
      <c r="M9" s="14"/>
      <c r="N9" s="14"/>
      <c r="O9" s="14"/>
      <c r="P9" s="14"/>
      <c r="Q9" s="14"/>
      <c r="R9" s="14"/>
      <c r="S9" s="14"/>
    </row>
    <row r="10" spans="1:19" ht="21.6" customHeight="1" thickBot="1" x14ac:dyDescent="0.25">
      <c r="B10" s="12"/>
      <c r="D10" s="689"/>
      <c r="E10" s="690"/>
      <c r="F10" s="690"/>
      <c r="G10" s="690"/>
      <c r="H10" s="690"/>
      <c r="I10" s="690"/>
      <c r="J10" s="691"/>
      <c r="K10" s="14"/>
      <c r="L10" s="14"/>
      <c r="M10" s="14"/>
      <c r="N10" s="14"/>
      <c r="P10" s="14"/>
      <c r="Q10" s="14"/>
      <c r="R10" s="14"/>
    </row>
    <row r="11" spans="1:19" ht="25.9" customHeight="1" x14ac:dyDescent="0.2">
      <c r="B11" s="12"/>
      <c r="D11" s="672" t="s">
        <v>1</v>
      </c>
      <c r="E11" s="673"/>
      <c r="F11" s="674" t="s">
        <v>2</v>
      </c>
      <c r="G11" s="675"/>
      <c r="H11" s="675"/>
      <c r="I11" s="675"/>
      <c r="J11" s="676"/>
      <c r="K11" s="14"/>
      <c r="L11" s="14"/>
      <c r="M11" s="14"/>
      <c r="N11" s="14"/>
      <c r="P11" s="14"/>
      <c r="Q11" s="14"/>
      <c r="R11" s="14"/>
    </row>
    <row r="12" spans="1:19" ht="24" customHeight="1" x14ac:dyDescent="0.2">
      <c r="B12" s="12"/>
      <c r="D12" s="667" t="s">
        <v>3</v>
      </c>
      <c r="E12" s="668"/>
      <c r="F12" s="692" t="s">
        <v>4</v>
      </c>
      <c r="G12" s="693"/>
      <c r="H12" s="693"/>
      <c r="I12" s="693"/>
      <c r="J12" s="694"/>
      <c r="K12" s="14"/>
      <c r="L12" s="14"/>
      <c r="M12" s="14"/>
      <c r="N12" s="14"/>
      <c r="P12" s="14"/>
      <c r="Q12" s="14"/>
      <c r="R12" s="14"/>
    </row>
    <row r="13" spans="1:19" ht="21.6" customHeight="1" x14ac:dyDescent="0.2">
      <c r="B13" s="12"/>
      <c r="D13" s="698" t="s">
        <v>5</v>
      </c>
      <c r="E13" s="699"/>
      <c r="F13" s="692" t="s">
        <v>6</v>
      </c>
      <c r="G13" s="693"/>
      <c r="H13" s="693"/>
      <c r="I13" s="693"/>
      <c r="J13" s="694"/>
      <c r="K13" s="14"/>
      <c r="L13" s="14"/>
      <c r="M13" s="14"/>
      <c r="N13" s="14"/>
      <c r="P13" s="14"/>
      <c r="Q13" s="14"/>
      <c r="R13" s="14"/>
    </row>
    <row r="14" spans="1:19" ht="22.15" customHeight="1" x14ac:dyDescent="0.2">
      <c r="B14" s="12"/>
      <c r="D14" s="667" t="s">
        <v>7</v>
      </c>
      <c r="E14" s="668"/>
      <c r="F14" s="692" t="s">
        <v>6</v>
      </c>
      <c r="G14" s="693"/>
      <c r="H14" s="693"/>
      <c r="I14" s="693"/>
      <c r="J14" s="694"/>
      <c r="K14" s="14"/>
      <c r="L14" s="14"/>
      <c r="M14" s="14"/>
      <c r="N14" s="14"/>
      <c r="P14" s="14"/>
      <c r="Q14" s="14"/>
      <c r="R14" s="14"/>
    </row>
    <row r="15" spans="1:19" ht="21.6" customHeight="1" x14ac:dyDescent="0.2">
      <c r="B15" s="12"/>
      <c r="D15" s="667" t="s">
        <v>8</v>
      </c>
      <c r="E15" s="668"/>
      <c r="F15" s="692" t="s">
        <v>6</v>
      </c>
      <c r="G15" s="693"/>
      <c r="H15" s="693"/>
      <c r="I15" s="693"/>
      <c r="J15" s="694"/>
      <c r="K15" s="14"/>
      <c r="L15" s="14"/>
      <c r="M15" s="14"/>
      <c r="N15" s="14"/>
      <c r="P15" s="14"/>
      <c r="Q15" s="14"/>
      <c r="R15" s="14"/>
    </row>
    <row r="16" spans="1:19" ht="21" customHeight="1" x14ac:dyDescent="0.2">
      <c r="D16" s="667" t="s">
        <v>9</v>
      </c>
      <c r="E16" s="668"/>
      <c r="F16" s="692" t="s">
        <v>10</v>
      </c>
      <c r="G16" s="693"/>
      <c r="H16" s="693"/>
      <c r="I16" s="693"/>
      <c r="J16" s="694"/>
      <c r="K16" s="14"/>
      <c r="L16" s="14"/>
      <c r="M16" s="14"/>
      <c r="N16" s="14"/>
      <c r="P16" s="14"/>
      <c r="Q16" s="14"/>
      <c r="R16" s="14"/>
    </row>
    <row r="17" spans="3:18" ht="23.45" customHeight="1" x14ac:dyDescent="0.2">
      <c r="D17" s="667" t="s">
        <v>11</v>
      </c>
      <c r="E17" s="668"/>
      <c r="F17" s="692" t="s">
        <v>12</v>
      </c>
      <c r="G17" s="693"/>
      <c r="H17" s="693"/>
      <c r="I17" s="693"/>
      <c r="J17" s="694"/>
      <c r="K17" s="14"/>
      <c r="L17" s="14"/>
      <c r="M17" s="14"/>
      <c r="N17" s="14"/>
      <c r="P17" s="14"/>
      <c r="Q17" s="14"/>
      <c r="R17" s="14"/>
    </row>
    <row r="18" spans="3:18" ht="19.899999999999999" customHeight="1" x14ac:dyDescent="0.2">
      <c r="D18" s="667" t="s">
        <v>13</v>
      </c>
      <c r="E18" s="668"/>
      <c r="F18" s="692">
        <v>3.1</v>
      </c>
      <c r="G18" s="693"/>
      <c r="H18" s="693"/>
      <c r="I18" s="693"/>
      <c r="J18" s="694"/>
      <c r="K18" s="14"/>
      <c r="L18" s="14"/>
      <c r="M18" s="14"/>
      <c r="N18" s="14"/>
      <c r="P18" s="14"/>
      <c r="Q18" s="14"/>
      <c r="R18" s="14"/>
    </row>
    <row r="19" spans="3:18" ht="19.899999999999999" customHeight="1" x14ac:dyDescent="0.2">
      <c r="D19" s="667" t="s">
        <v>14</v>
      </c>
      <c r="E19" s="668"/>
      <c r="F19" s="695" t="s">
        <v>15</v>
      </c>
      <c r="G19" s="696"/>
      <c r="H19" s="696"/>
      <c r="I19" s="696"/>
      <c r="J19" s="697"/>
      <c r="K19" s="14"/>
      <c r="L19" s="14"/>
      <c r="M19" s="14"/>
      <c r="N19" s="14"/>
      <c r="P19" s="14"/>
      <c r="Q19" s="14"/>
      <c r="R19" s="14"/>
    </row>
    <row r="20" spans="3:18" ht="21.6" customHeight="1" thickBot="1" x14ac:dyDescent="0.25">
      <c r="D20" s="700" t="s">
        <v>16</v>
      </c>
      <c r="E20" s="701"/>
      <c r="F20" s="702" t="s">
        <v>2</v>
      </c>
      <c r="G20" s="703"/>
      <c r="H20" s="703"/>
      <c r="I20" s="703"/>
      <c r="J20" s="704"/>
      <c r="K20" s="14"/>
      <c r="L20" s="14"/>
      <c r="M20" s="14"/>
      <c r="N20" s="14"/>
      <c r="P20" s="14"/>
      <c r="Q20" s="14"/>
      <c r="R20" s="14"/>
    </row>
    <row r="21" spans="3:18" ht="16.5" customHeight="1" x14ac:dyDescent="0.2">
      <c r="P21" s="14"/>
      <c r="Q21" s="14"/>
      <c r="R21" s="14"/>
    </row>
    <row r="22" spans="3:18" ht="16.5" customHeight="1" thickBot="1" x14ac:dyDescent="0.25">
      <c r="C22" s="14"/>
      <c r="D22" s="14"/>
      <c r="E22" s="14"/>
      <c r="F22" s="14"/>
      <c r="G22" s="14"/>
      <c r="H22" s="14"/>
      <c r="I22" s="14"/>
      <c r="J22" s="14"/>
      <c r="K22" s="14"/>
      <c r="P22" s="14"/>
      <c r="Q22" s="14"/>
      <c r="R22" s="14"/>
    </row>
    <row r="23" spans="3:18" ht="20.25" customHeight="1" thickBot="1" x14ac:dyDescent="0.35">
      <c r="C23" s="14"/>
      <c r="D23" s="707" t="s">
        <v>17</v>
      </c>
      <c r="E23" s="708"/>
      <c r="F23" s="708"/>
      <c r="G23" s="708"/>
      <c r="H23" s="708"/>
      <c r="I23" s="708"/>
      <c r="J23" s="709"/>
      <c r="K23" s="14"/>
      <c r="L23" s="15"/>
      <c r="M23" s="15"/>
      <c r="N23" s="15"/>
      <c r="P23" s="14"/>
      <c r="Q23" s="14"/>
      <c r="R23" s="14"/>
    </row>
    <row r="24" spans="3:18" ht="16.5" customHeight="1" x14ac:dyDescent="0.2">
      <c r="P24" s="14"/>
      <c r="Q24" s="14"/>
      <c r="R24" s="14"/>
    </row>
    <row r="25" spans="3:18" ht="16.5" customHeight="1" x14ac:dyDescent="0.25">
      <c r="D25" s="705"/>
      <c r="E25" s="706"/>
      <c r="F25" s="680" t="s">
        <v>18</v>
      </c>
      <c r="G25" s="681"/>
      <c r="H25" s="681"/>
      <c r="I25" s="681"/>
      <c r="J25" s="682"/>
      <c r="K25" s="14"/>
      <c r="L25" s="14"/>
      <c r="M25" s="14"/>
      <c r="N25" s="14"/>
      <c r="P25" s="14"/>
      <c r="Q25" s="14"/>
      <c r="R25" s="14"/>
    </row>
    <row r="26" spans="3:18" ht="16.5" customHeight="1" x14ac:dyDescent="0.25">
      <c r="D26" s="710"/>
      <c r="E26" s="711"/>
      <c r="F26" s="680" t="s">
        <v>19</v>
      </c>
      <c r="G26" s="681"/>
      <c r="H26" s="681"/>
      <c r="I26" s="681"/>
      <c r="J26" s="682"/>
      <c r="K26" s="14"/>
      <c r="L26" s="14"/>
      <c r="M26" s="14"/>
      <c r="N26" s="14"/>
      <c r="P26" s="14"/>
      <c r="Q26" s="14"/>
      <c r="R26" s="14"/>
    </row>
    <row r="27" spans="3:18" ht="16.5" customHeight="1" thickBot="1" x14ac:dyDescent="0.3">
      <c r="D27" s="678"/>
      <c r="E27" s="679"/>
      <c r="F27" s="683" t="s">
        <v>20</v>
      </c>
      <c r="G27" s="684"/>
      <c r="H27" s="684"/>
      <c r="I27" s="684"/>
      <c r="J27" s="685"/>
      <c r="K27" s="14"/>
      <c r="L27" s="14"/>
      <c r="M27" s="14"/>
      <c r="N27" s="14"/>
      <c r="P27" s="14"/>
      <c r="Q27" s="14"/>
      <c r="R27" s="14"/>
    </row>
    <row r="28" spans="3:18" ht="16.5" customHeight="1" x14ac:dyDescent="0.2">
      <c r="D28" s="14"/>
      <c r="E28" s="14"/>
      <c r="F28" s="14"/>
      <c r="G28" s="14"/>
      <c r="H28" s="14"/>
      <c r="I28" s="14"/>
      <c r="J28" s="14"/>
      <c r="K28" s="14"/>
      <c r="L28" s="14"/>
      <c r="M28" s="14"/>
      <c r="N28" s="14"/>
      <c r="P28" s="14"/>
      <c r="Q28" s="14"/>
      <c r="R28" s="14"/>
    </row>
    <row r="29" spans="3:18" ht="24" customHeight="1" x14ac:dyDescent="0.2">
      <c r="D29" s="14"/>
      <c r="E29" s="14"/>
      <c r="F29" s="14"/>
      <c r="G29" s="14"/>
      <c r="H29" s="14"/>
      <c r="I29" s="14"/>
      <c r="J29" s="14"/>
      <c r="K29" s="14"/>
      <c r="L29" s="14"/>
      <c r="M29" s="14"/>
      <c r="N29" s="14"/>
      <c r="P29" s="14"/>
      <c r="Q29" s="14"/>
      <c r="R29" s="14"/>
    </row>
    <row r="30" spans="3:18" ht="15.75" x14ac:dyDescent="0.2">
      <c r="D30" s="14"/>
      <c r="E30" s="14"/>
      <c r="F30" s="14"/>
      <c r="G30" s="14"/>
      <c r="H30" s="14"/>
      <c r="I30" s="14"/>
      <c r="J30" s="14"/>
      <c r="K30" s="14"/>
      <c r="L30" s="14"/>
      <c r="M30" s="14"/>
      <c r="N30" s="14"/>
      <c r="P30" s="14"/>
      <c r="Q30" s="14"/>
      <c r="R30" s="14"/>
    </row>
    <row r="31" spans="3:18" ht="15.75" x14ac:dyDescent="0.2">
      <c r="D31" s="14"/>
      <c r="E31" s="14"/>
      <c r="F31" s="14"/>
      <c r="G31" s="14"/>
      <c r="H31" s="14"/>
      <c r="I31" s="14"/>
      <c r="J31" s="14"/>
      <c r="K31" s="14"/>
      <c r="L31" s="14"/>
      <c r="M31" s="14"/>
      <c r="N31" s="14"/>
      <c r="O31" s="14"/>
      <c r="P31" s="14"/>
      <c r="Q31" s="14"/>
      <c r="R31" s="14"/>
    </row>
    <row r="32" spans="3:18" ht="15.75" x14ac:dyDescent="0.2">
      <c r="D32" s="14"/>
      <c r="E32" s="14"/>
      <c r="F32" s="14"/>
      <c r="G32" s="14"/>
      <c r="H32" s="14"/>
      <c r="I32" s="14"/>
      <c r="J32" s="14"/>
      <c r="K32" s="14"/>
      <c r="L32" s="14"/>
      <c r="M32" s="14"/>
      <c r="N32" s="14"/>
      <c r="O32" s="14"/>
      <c r="P32" s="14"/>
      <c r="Q32" s="14"/>
      <c r="R32" s="14"/>
    </row>
    <row r="33" spans="4:18" ht="15.75" x14ac:dyDescent="0.2">
      <c r="D33" s="14"/>
      <c r="E33" s="14"/>
      <c r="F33" s="14"/>
      <c r="G33" s="14"/>
      <c r="H33" s="14"/>
      <c r="I33" s="14"/>
      <c r="J33" s="14"/>
      <c r="K33" s="14"/>
      <c r="L33" s="14"/>
      <c r="M33" s="14"/>
      <c r="N33" s="14"/>
      <c r="O33" s="14"/>
      <c r="P33" s="14"/>
      <c r="Q33" s="14"/>
      <c r="R33" s="14"/>
    </row>
    <row r="34" spans="4:18" ht="15.75" x14ac:dyDescent="0.2">
      <c r="D34" s="14"/>
      <c r="E34" s="14"/>
      <c r="F34" s="14"/>
      <c r="G34" s="14"/>
      <c r="H34" s="14"/>
      <c r="I34" s="14"/>
      <c r="J34" s="14"/>
      <c r="K34" s="14"/>
      <c r="L34" s="14"/>
      <c r="M34" s="14"/>
      <c r="N34" s="14"/>
      <c r="O34" s="14"/>
      <c r="P34" s="14"/>
      <c r="Q34" s="14"/>
      <c r="R34" s="14"/>
    </row>
    <row r="35" spans="4:18" ht="15.75" x14ac:dyDescent="0.2">
      <c r="D35" s="14"/>
      <c r="E35" s="14"/>
      <c r="F35" s="14"/>
      <c r="G35" s="14"/>
      <c r="H35" s="14"/>
      <c r="I35" s="14"/>
      <c r="J35" s="14"/>
      <c r="K35" s="14"/>
      <c r="L35" s="14"/>
      <c r="M35" s="14"/>
      <c r="N35" s="14"/>
      <c r="O35" s="14"/>
      <c r="P35" s="14"/>
      <c r="Q35" s="14"/>
      <c r="R35" s="14"/>
    </row>
    <row r="36" spans="4:18" ht="15.75" x14ac:dyDescent="0.2">
      <c r="D36" s="14"/>
      <c r="E36" s="14"/>
      <c r="F36" s="14"/>
      <c r="G36" s="14"/>
      <c r="H36" s="14"/>
      <c r="I36" s="14"/>
      <c r="J36" s="14"/>
      <c r="K36" s="14"/>
      <c r="L36" s="14"/>
      <c r="M36" s="14"/>
      <c r="N36" s="14"/>
      <c r="O36" s="14"/>
      <c r="P36" s="14"/>
      <c r="Q36" s="14"/>
      <c r="R36" s="14"/>
    </row>
    <row r="37" spans="4:18" ht="15.75" x14ac:dyDescent="0.2">
      <c r="D37" s="14"/>
      <c r="E37" s="14"/>
      <c r="F37" s="14"/>
      <c r="G37" s="14"/>
      <c r="H37" s="14"/>
      <c r="I37" s="14"/>
      <c r="J37" s="14"/>
      <c r="K37" s="14"/>
      <c r="L37" s="14"/>
      <c r="M37" s="14"/>
      <c r="N37" s="14"/>
      <c r="O37" s="14"/>
      <c r="P37" s="14"/>
      <c r="Q37" s="14"/>
      <c r="R37" s="14"/>
    </row>
    <row r="38" spans="4:18" ht="15.75" x14ac:dyDescent="0.2">
      <c r="D38" s="14"/>
      <c r="E38" s="14"/>
      <c r="F38" s="14"/>
      <c r="G38" s="14"/>
      <c r="H38" s="14"/>
      <c r="I38" s="14"/>
      <c r="J38" s="14"/>
      <c r="K38" s="14"/>
      <c r="L38" s="14"/>
      <c r="M38" s="14"/>
      <c r="N38" s="14"/>
      <c r="O38" s="14"/>
      <c r="P38" s="14"/>
      <c r="Q38" s="14"/>
      <c r="R38" s="14"/>
    </row>
    <row r="39" spans="4:18" ht="15.75" x14ac:dyDescent="0.2">
      <c r="D39" s="14"/>
      <c r="E39" s="14"/>
      <c r="F39" s="14"/>
      <c r="G39" s="14"/>
      <c r="H39" s="14"/>
      <c r="I39" s="14"/>
      <c r="J39" s="14"/>
      <c r="K39" s="14"/>
      <c r="L39" s="14"/>
      <c r="M39" s="14"/>
      <c r="N39" s="14"/>
      <c r="O39" s="14"/>
      <c r="P39" s="14"/>
      <c r="Q39" s="14"/>
      <c r="R39" s="14"/>
    </row>
    <row r="40" spans="4:18" ht="15.75" x14ac:dyDescent="0.2">
      <c r="D40" s="14"/>
      <c r="E40" s="14"/>
      <c r="F40" s="14"/>
      <c r="G40" s="14"/>
      <c r="H40" s="14"/>
      <c r="I40" s="14"/>
      <c r="J40" s="14"/>
      <c r="K40" s="14"/>
      <c r="L40" s="14"/>
      <c r="M40" s="14"/>
      <c r="N40" s="14"/>
      <c r="O40" s="14"/>
      <c r="P40" s="14"/>
      <c r="Q40" s="14"/>
      <c r="R40" s="14"/>
    </row>
    <row r="41" spans="4:18" ht="15.75" x14ac:dyDescent="0.2">
      <c r="D41" s="14"/>
      <c r="E41" s="14"/>
      <c r="F41" s="14"/>
      <c r="G41" s="14"/>
      <c r="H41" s="14"/>
      <c r="I41" s="14"/>
      <c r="J41" s="14"/>
      <c r="K41" s="14"/>
      <c r="L41" s="14"/>
      <c r="M41" s="14"/>
      <c r="N41" s="14"/>
      <c r="O41" s="14"/>
      <c r="P41" s="14"/>
      <c r="Q41" s="14"/>
      <c r="R41" s="14"/>
    </row>
    <row r="42" spans="4:18" ht="15.75" x14ac:dyDescent="0.2">
      <c r="D42" s="14"/>
      <c r="E42" s="14"/>
      <c r="F42" s="14"/>
      <c r="G42" s="14"/>
      <c r="H42" s="14"/>
      <c r="I42" s="14"/>
      <c r="J42" s="14"/>
      <c r="K42" s="14"/>
      <c r="L42" s="14"/>
      <c r="M42" s="14"/>
      <c r="N42" s="14"/>
      <c r="O42" s="14"/>
      <c r="P42" s="14"/>
      <c r="Q42" s="14"/>
      <c r="R42" s="14"/>
    </row>
    <row r="43" spans="4:18" ht="15.75" x14ac:dyDescent="0.2">
      <c r="D43" s="14"/>
      <c r="E43" s="14"/>
      <c r="F43" s="14"/>
      <c r="G43" s="14"/>
      <c r="H43" s="14"/>
      <c r="I43" s="14"/>
      <c r="J43" s="14"/>
      <c r="K43" s="14"/>
      <c r="L43" s="14"/>
      <c r="M43" s="14"/>
      <c r="N43" s="14"/>
      <c r="O43" s="14"/>
      <c r="P43" s="14"/>
      <c r="Q43" s="14"/>
      <c r="R43" s="14"/>
    </row>
    <row r="44" spans="4:18" ht="15.75" x14ac:dyDescent="0.2">
      <c r="D44" s="14"/>
      <c r="E44" s="14"/>
      <c r="F44" s="14"/>
      <c r="G44" s="14"/>
      <c r="H44" s="14"/>
      <c r="I44" s="14"/>
      <c r="J44" s="14"/>
      <c r="K44" s="14"/>
      <c r="L44" s="14"/>
      <c r="M44" s="14"/>
      <c r="N44" s="14"/>
      <c r="O44" s="14"/>
      <c r="P44" s="14"/>
      <c r="Q44" s="14"/>
      <c r="R44" s="14"/>
    </row>
    <row r="45" spans="4:18" ht="21" customHeight="1" x14ac:dyDescent="0.2">
      <c r="D45" s="14"/>
      <c r="E45" s="14"/>
      <c r="F45" s="14"/>
      <c r="G45" s="14"/>
      <c r="H45" s="14"/>
      <c r="I45" s="14"/>
      <c r="J45" s="14"/>
      <c r="K45" s="14"/>
      <c r="L45" s="14"/>
      <c r="M45" s="14"/>
      <c r="N45" s="14"/>
      <c r="O45" s="14"/>
      <c r="P45" s="14"/>
      <c r="Q45" s="14"/>
      <c r="R45" s="14"/>
    </row>
    <row r="46" spans="4:18" ht="15.75" x14ac:dyDescent="0.2">
      <c r="P46" s="14"/>
      <c r="Q46" s="14"/>
      <c r="R46" s="14"/>
    </row>
    <row r="47" spans="4:18" ht="14.25" x14ac:dyDescent="0.2"/>
    <row r="48" spans="4:18" ht="14.25" x14ac:dyDescent="0.2"/>
    <row r="49" ht="14.25" x14ac:dyDescent="0.2"/>
    <row r="50" ht="14.25" x14ac:dyDescent="0.2"/>
    <row r="51" ht="6" customHeight="1" x14ac:dyDescent="0.2"/>
    <row r="52" ht="14.25" x14ac:dyDescent="0.2"/>
    <row r="53" ht="14.25" x14ac:dyDescent="0.2"/>
    <row r="54" ht="14.25" x14ac:dyDescent="0.2"/>
    <row r="55" ht="63.75" customHeight="1" x14ac:dyDescent="0.2"/>
    <row r="56" ht="105.75" customHeight="1" x14ac:dyDescent="0.2"/>
    <row r="57" ht="48.75" customHeight="1" x14ac:dyDescent="0.2"/>
    <row r="58" ht="105.75" customHeight="1" x14ac:dyDescent="0.2"/>
    <row r="59" ht="105.75" customHeight="1" x14ac:dyDescent="0.2"/>
    <row r="60" ht="105.75" customHeight="1" x14ac:dyDescent="0.2"/>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x14ac:dyDescent="0.2"/>
    <row r="2" spans="2:42" ht="19.899999999999999" customHeight="1" x14ac:dyDescent="0.2">
      <c r="B2" s="191"/>
      <c r="C2" s="192"/>
      <c r="O2" s="132"/>
      <c r="X2" s="908" t="str">
        <f>IF(OR(COUNTIF($X$12:X257,"*30+*")&gt;0,COUNTIF($AB$12:AB257,"*30+*")&gt;0),"Note; Habitat selected has a time to target condition greater than 30 years. Non standard agreement may be required. ⚠","")</f>
        <v/>
      </c>
      <c r="Y2" s="908"/>
      <c r="Z2" s="908"/>
      <c r="AA2" s="908"/>
      <c r="AB2" s="908"/>
      <c r="AC2" s="908"/>
    </row>
    <row r="3" spans="2:42" ht="19.149999999999999" customHeight="1" x14ac:dyDescent="0.2">
      <c r="B3" s="1006" t="str">
        <f ca="1">MID(CELL("filename",A1),FIND("]",CELL("filename",A1))+1,256)</f>
        <v>E-3 Off Site Hedge Enhancement</v>
      </c>
      <c r="C3" s="1007"/>
      <c r="X3" s="908"/>
      <c r="Y3" s="908"/>
      <c r="Z3" s="908"/>
      <c r="AA3" s="908"/>
      <c r="AB3" s="908"/>
      <c r="AC3" s="908"/>
    </row>
    <row r="4" spans="2:42" ht="15.75" customHeight="1" x14ac:dyDescent="0.2">
      <c r="B4" s="1008"/>
      <c r="C4" s="1009"/>
      <c r="X4" s="908"/>
      <c r="Y4" s="908"/>
      <c r="Z4" s="908"/>
      <c r="AA4" s="908"/>
      <c r="AB4" s="908"/>
      <c r="AC4" s="908"/>
    </row>
    <row r="5" spans="2:42" ht="15.75" customHeight="1" x14ac:dyDescent="0.25">
      <c r="W5" s="193"/>
      <c r="X5" s="193"/>
      <c r="Y5" s="193"/>
      <c r="Z5" s="193"/>
      <c r="AA5" s="193"/>
      <c r="AB5" s="193"/>
      <c r="AC5" s="193"/>
      <c r="AD5" s="193"/>
      <c r="AE5" s="193"/>
      <c r="AF5" s="193"/>
      <c r="AG5" s="193"/>
      <c r="AH5" s="193"/>
    </row>
    <row r="6" spans="2:42" ht="27.6" customHeight="1" x14ac:dyDescent="0.2"/>
    <row r="7" spans="2:42" ht="15" thickBot="1" x14ac:dyDescent="0.25">
      <c r="B7" s="132"/>
      <c r="C7" s="132"/>
      <c r="M7" s="131"/>
    </row>
    <row r="8" spans="2:42" ht="15" thickBot="1" x14ac:dyDescent="0.25">
      <c r="M8" s="950" t="s">
        <v>342</v>
      </c>
      <c r="N8" s="951"/>
      <c r="O8" s="951"/>
      <c r="P8" s="951"/>
      <c r="Q8" s="951"/>
      <c r="R8" s="951"/>
      <c r="S8" s="951"/>
      <c r="T8" s="951"/>
      <c r="U8" s="951"/>
      <c r="V8" s="951"/>
      <c r="W8" s="951"/>
      <c r="X8" s="951"/>
      <c r="Y8" s="951"/>
      <c r="Z8" s="951"/>
      <c r="AA8" s="951"/>
      <c r="AB8" s="951"/>
      <c r="AC8" s="951"/>
      <c r="AD8" s="951"/>
      <c r="AE8" s="951"/>
      <c r="AF8" s="951"/>
      <c r="AG8" s="951"/>
      <c r="AH8" s="951"/>
      <c r="AI8" s="952"/>
    </row>
    <row r="9" spans="2:42" ht="15" thickBot="1" x14ac:dyDescent="0.25">
      <c r="C9" s="131"/>
      <c r="D9" s="131"/>
      <c r="E9" s="131"/>
      <c r="F9" s="131"/>
      <c r="G9" s="131"/>
      <c r="H9" s="131"/>
      <c r="I9" s="131"/>
      <c r="J9" s="131"/>
      <c r="K9" s="131"/>
      <c r="L9" s="131"/>
      <c r="M9" s="1002" t="s">
        <v>273</v>
      </c>
      <c r="N9" s="1003"/>
      <c r="O9" s="1003"/>
      <c r="P9" s="1003"/>
      <c r="Q9" s="1003"/>
      <c r="R9" s="1003"/>
      <c r="S9" s="1003"/>
      <c r="T9" s="1003"/>
      <c r="U9" s="1003"/>
      <c r="V9" s="1003"/>
      <c r="W9" s="1003"/>
      <c r="X9" s="1003"/>
      <c r="Y9" s="1003"/>
      <c r="Z9" s="1003"/>
      <c r="AA9" s="1003"/>
      <c r="AB9" s="1003"/>
      <c r="AC9" s="1003"/>
      <c r="AD9" s="1003"/>
      <c r="AE9" s="1003"/>
      <c r="AF9" s="1003"/>
      <c r="AG9" s="1003"/>
      <c r="AH9" s="1003"/>
      <c r="AI9" s="1004"/>
    </row>
    <row r="10" spans="2:42" s="42" customFormat="1" ht="30" customHeight="1" thickBot="1" x14ac:dyDescent="0.25">
      <c r="C10" s="1005" t="s">
        <v>271</v>
      </c>
      <c r="D10" s="1011"/>
      <c r="E10" s="1011"/>
      <c r="F10" s="1011"/>
      <c r="G10" s="1011"/>
      <c r="H10" s="1011"/>
      <c r="I10" s="1011"/>
      <c r="J10" s="1011"/>
      <c r="K10" s="1011"/>
      <c r="L10" s="1012"/>
      <c r="M10" s="1005" t="s">
        <v>343</v>
      </c>
      <c r="N10" s="879" t="s">
        <v>333</v>
      </c>
      <c r="O10" s="877"/>
      <c r="P10" s="938" t="s">
        <v>319</v>
      </c>
      <c r="Q10" s="879" t="s">
        <v>195</v>
      </c>
      <c r="R10" s="877"/>
      <c r="S10" s="879" t="s">
        <v>196</v>
      </c>
      <c r="T10" s="877"/>
      <c r="U10" s="966" t="s">
        <v>197</v>
      </c>
      <c r="V10" s="967"/>
      <c r="W10" s="968"/>
      <c r="X10" s="966" t="s">
        <v>252</v>
      </c>
      <c r="Y10" s="967"/>
      <c r="Z10" s="967"/>
      <c r="AA10" s="967"/>
      <c r="AB10" s="967"/>
      <c r="AC10" s="968"/>
      <c r="AD10" s="939" t="s">
        <v>276</v>
      </c>
      <c r="AE10" s="939"/>
      <c r="AF10" s="939"/>
      <c r="AG10" s="939"/>
      <c r="AH10" s="133" t="s">
        <v>305</v>
      </c>
      <c r="AI10" s="969" t="s">
        <v>305</v>
      </c>
      <c r="AJ10" s="969" t="s">
        <v>327</v>
      </c>
      <c r="AK10" s="966" t="s">
        <v>202</v>
      </c>
      <c r="AL10" s="968"/>
    </row>
    <row r="11" spans="2:42" ht="62.25" customHeight="1" thickBot="1" x14ac:dyDescent="0.25">
      <c r="B11" s="135" t="s">
        <v>278</v>
      </c>
      <c r="C11" s="136" t="s">
        <v>279</v>
      </c>
      <c r="D11" s="136" t="s">
        <v>319</v>
      </c>
      <c r="E11" s="136" t="s">
        <v>281</v>
      </c>
      <c r="F11" s="136" t="s">
        <v>282</v>
      </c>
      <c r="G11" s="136" t="s">
        <v>283</v>
      </c>
      <c r="H11" s="136" t="s">
        <v>284</v>
      </c>
      <c r="I11" s="136" t="s">
        <v>285</v>
      </c>
      <c r="J11" s="136" t="s">
        <v>286</v>
      </c>
      <c r="K11" s="136" t="s">
        <v>287</v>
      </c>
      <c r="L11" s="137" t="s">
        <v>334</v>
      </c>
      <c r="M11" s="1005"/>
      <c r="N11" s="141" t="s">
        <v>335</v>
      </c>
      <c r="O11" s="358" t="s">
        <v>336</v>
      </c>
      <c r="P11" s="939"/>
      <c r="Q11" s="141" t="s">
        <v>195</v>
      </c>
      <c r="R11" s="358" t="s">
        <v>212</v>
      </c>
      <c r="S11" s="141" t="s">
        <v>196</v>
      </c>
      <c r="T11" s="358" t="s">
        <v>212</v>
      </c>
      <c r="U11" s="141" t="s">
        <v>197</v>
      </c>
      <c r="V11" s="103" t="s">
        <v>197</v>
      </c>
      <c r="W11" s="358" t="s">
        <v>255</v>
      </c>
      <c r="X11" s="367" t="s">
        <v>329</v>
      </c>
      <c r="Y11" s="200" t="s">
        <v>292</v>
      </c>
      <c r="Z11" s="200" t="s">
        <v>293</v>
      </c>
      <c r="AA11" s="200" t="s">
        <v>259</v>
      </c>
      <c r="AB11" s="200" t="s">
        <v>260</v>
      </c>
      <c r="AC11" s="201" t="s">
        <v>337</v>
      </c>
      <c r="AD11" s="367" t="s">
        <v>338</v>
      </c>
      <c r="AE11" s="200" t="s">
        <v>330</v>
      </c>
      <c r="AF11" s="200" t="s">
        <v>339</v>
      </c>
      <c r="AG11" s="201" t="s">
        <v>265</v>
      </c>
      <c r="AH11" s="135" t="s">
        <v>308</v>
      </c>
      <c r="AI11" s="1010"/>
      <c r="AJ11" s="996"/>
      <c r="AK11" s="141" t="s">
        <v>221</v>
      </c>
      <c r="AL11" s="358" t="s">
        <v>222</v>
      </c>
      <c r="AP11" s="131" t="s">
        <v>206</v>
      </c>
    </row>
    <row r="12" spans="2:42" ht="14.25" x14ac:dyDescent="0.2">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4.25" x14ac:dyDescent="0.2">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4.25" x14ac:dyDescent="0.2">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4.25" x14ac:dyDescent="0.2">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4.25" x14ac:dyDescent="0.2">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4.25" x14ac:dyDescent="0.2">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4.25" x14ac:dyDescent="0.2">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4.25" x14ac:dyDescent="0.2">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4.25" x14ac:dyDescent="0.2">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4.25" x14ac:dyDescent="0.2">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4.25" x14ac:dyDescent="0.2">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4.25" x14ac:dyDescent="0.2">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4.25" x14ac:dyDescent="0.2">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4.25" x14ac:dyDescent="0.2">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4.25" x14ac:dyDescent="0.2">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4.25" x14ac:dyDescent="0.2">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4.25" x14ac:dyDescent="0.2">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4.25" x14ac:dyDescent="0.2">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4.25" x14ac:dyDescent="0.2">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4.25" x14ac:dyDescent="0.2">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4.25" x14ac:dyDescent="0.2">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4.25" x14ac:dyDescent="0.2">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4.25" x14ac:dyDescent="0.2">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4.25" x14ac:dyDescent="0.2">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4.25" x14ac:dyDescent="0.2">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4.25" x14ac:dyDescent="0.2">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4.25" x14ac:dyDescent="0.2">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4.25" x14ac:dyDescent="0.2">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4.25" x14ac:dyDescent="0.2">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4.25" x14ac:dyDescent="0.2">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4.25" x14ac:dyDescent="0.2">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4.25" x14ac:dyDescent="0.2">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4.25" x14ac:dyDescent="0.2">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4.25" x14ac:dyDescent="0.2">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4.25" x14ac:dyDescent="0.2">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4.25" x14ac:dyDescent="0.2">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4.25" x14ac:dyDescent="0.2">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4.25" x14ac:dyDescent="0.2">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4.25" x14ac:dyDescent="0.2">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4.25" x14ac:dyDescent="0.2">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4.25" x14ac:dyDescent="0.2">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4.25" x14ac:dyDescent="0.2">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4.25" x14ac:dyDescent="0.2">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4.25" x14ac:dyDescent="0.2">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4.25" x14ac:dyDescent="0.2">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4.25" x14ac:dyDescent="0.2">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4.25" x14ac:dyDescent="0.2">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4.25" x14ac:dyDescent="0.2">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4.25" x14ac:dyDescent="0.2">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4.25" x14ac:dyDescent="0.2">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4.25" x14ac:dyDescent="0.2">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4.25" x14ac:dyDescent="0.2">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4.25" x14ac:dyDescent="0.2">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4.25" x14ac:dyDescent="0.2">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4.25" x14ac:dyDescent="0.2">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4.25" x14ac:dyDescent="0.2">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4.25" x14ac:dyDescent="0.2">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4.25" x14ac:dyDescent="0.2">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4.25" x14ac:dyDescent="0.2">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4.25" x14ac:dyDescent="0.2">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4.25" x14ac:dyDescent="0.2">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4.25" x14ac:dyDescent="0.2">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4.25" x14ac:dyDescent="0.2">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4.25" x14ac:dyDescent="0.2">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4.25" x14ac:dyDescent="0.2">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4.25" x14ac:dyDescent="0.2">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4.25" x14ac:dyDescent="0.2">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4.25" x14ac:dyDescent="0.2">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4.25" x14ac:dyDescent="0.2">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4.25" x14ac:dyDescent="0.2">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4.25" x14ac:dyDescent="0.2">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4.25" x14ac:dyDescent="0.2">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4.25" x14ac:dyDescent="0.2">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4.25" x14ac:dyDescent="0.2">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4.25" x14ac:dyDescent="0.2">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4.25" x14ac:dyDescent="0.2">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4.25" x14ac:dyDescent="0.2">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4.25" x14ac:dyDescent="0.2">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4.25" x14ac:dyDescent="0.2">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4.25" x14ac:dyDescent="0.2">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4.25" x14ac:dyDescent="0.2">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4.25" x14ac:dyDescent="0.2">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4.25" x14ac:dyDescent="0.2">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4.25" x14ac:dyDescent="0.2">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4.25" x14ac:dyDescent="0.2">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4.25" x14ac:dyDescent="0.2">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4.25" x14ac:dyDescent="0.2">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4.25" x14ac:dyDescent="0.2">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4.25" x14ac:dyDescent="0.2">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4.25" x14ac:dyDescent="0.2">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4.25" x14ac:dyDescent="0.2">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4.25" x14ac:dyDescent="0.2">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4.25" x14ac:dyDescent="0.2">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4.25" x14ac:dyDescent="0.2">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4.25" x14ac:dyDescent="0.2">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4.25" x14ac:dyDescent="0.2">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4.25" x14ac:dyDescent="0.2">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4.25" x14ac:dyDescent="0.2">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4.25" x14ac:dyDescent="0.2">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4.25" x14ac:dyDescent="0.2">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4.25" x14ac:dyDescent="0.2">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4.25" x14ac:dyDescent="0.2">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4.25" x14ac:dyDescent="0.2">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4.25" x14ac:dyDescent="0.2">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4.25" x14ac:dyDescent="0.2">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4.25" x14ac:dyDescent="0.2">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4.25" x14ac:dyDescent="0.2">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4.25" x14ac:dyDescent="0.2">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4.25" x14ac:dyDescent="0.2">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4.25" x14ac:dyDescent="0.2">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4.25" x14ac:dyDescent="0.2">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4.25" x14ac:dyDescent="0.2">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4.25" x14ac:dyDescent="0.2">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4.25" x14ac:dyDescent="0.2">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4.25" x14ac:dyDescent="0.2">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4.25" x14ac:dyDescent="0.2">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4.25" x14ac:dyDescent="0.2">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4.25" x14ac:dyDescent="0.2">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4.25" x14ac:dyDescent="0.2">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4.25" x14ac:dyDescent="0.2">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4.25" x14ac:dyDescent="0.2">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4.25" x14ac:dyDescent="0.2">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4.25" x14ac:dyDescent="0.2">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4.25" x14ac:dyDescent="0.2">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4.25" x14ac:dyDescent="0.2">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4.25" x14ac:dyDescent="0.2">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4.25" x14ac:dyDescent="0.2">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4.25" x14ac:dyDescent="0.2">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4.25" x14ac:dyDescent="0.2">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4.25" x14ac:dyDescent="0.2">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4.25" x14ac:dyDescent="0.2">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4.25" x14ac:dyDescent="0.2">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4.25" x14ac:dyDescent="0.2">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4.25" x14ac:dyDescent="0.2">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4.25" x14ac:dyDescent="0.2">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4.25" x14ac:dyDescent="0.2">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4.25" x14ac:dyDescent="0.2">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4.25" x14ac:dyDescent="0.2">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4.25" x14ac:dyDescent="0.2">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4.25" x14ac:dyDescent="0.2">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4.25" x14ac:dyDescent="0.2">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4.25" x14ac:dyDescent="0.2">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4.25" x14ac:dyDescent="0.2">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4.25" x14ac:dyDescent="0.2">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4.25" x14ac:dyDescent="0.2">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4.25" x14ac:dyDescent="0.2">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4.25" x14ac:dyDescent="0.2">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4.25" x14ac:dyDescent="0.2">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4.25" x14ac:dyDescent="0.2">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4.25" x14ac:dyDescent="0.2">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4.25" x14ac:dyDescent="0.2">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4.25" x14ac:dyDescent="0.2">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4.25" x14ac:dyDescent="0.2">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4.25" x14ac:dyDescent="0.2">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4.25" x14ac:dyDescent="0.2">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4.25" x14ac:dyDescent="0.2">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4.25" x14ac:dyDescent="0.2">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4.25" x14ac:dyDescent="0.2">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4.25" x14ac:dyDescent="0.2">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4.25" x14ac:dyDescent="0.2">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4.25" x14ac:dyDescent="0.2">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4.25" x14ac:dyDescent="0.2">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4.25" x14ac:dyDescent="0.2">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4.25" x14ac:dyDescent="0.2">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4.25" x14ac:dyDescent="0.2">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4.25" x14ac:dyDescent="0.2">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4.25" x14ac:dyDescent="0.2">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4.25" x14ac:dyDescent="0.2">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4.25" x14ac:dyDescent="0.2">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4.25" x14ac:dyDescent="0.2">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4.25" x14ac:dyDescent="0.2">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4.25" x14ac:dyDescent="0.2">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4.25" x14ac:dyDescent="0.2">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4.25" x14ac:dyDescent="0.2">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4.25" x14ac:dyDescent="0.2">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4.25" x14ac:dyDescent="0.2">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4.25" x14ac:dyDescent="0.2">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4.25" x14ac:dyDescent="0.2">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4.25" x14ac:dyDescent="0.2">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4.25" x14ac:dyDescent="0.2">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4.25" x14ac:dyDescent="0.2">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4.25" x14ac:dyDescent="0.2">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4.25" x14ac:dyDescent="0.2">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4.25" x14ac:dyDescent="0.2">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4.25" x14ac:dyDescent="0.2">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4.25" x14ac:dyDescent="0.2">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4.25" x14ac:dyDescent="0.2">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4.25" x14ac:dyDescent="0.2">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4.25" x14ac:dyDescent="0.2">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4.25" x14ac:dyDescent="0.2">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4.25" x14ac:dyDescent="0.2">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4.25" x14ac:dyDescent="0.2">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4.25" x14ac:dyDescent="0.2">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4.25" x14ac:dyDescent="0.2">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4.25" x14ac:dyDescent="0.2">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4.25" x14ac:dyDescent="0.2">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4.25" x14ac:dyDescent="0.2">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4.25" x14ac:dyDescent="0.2">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4.25" x14ac:dyDescent="0.2">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4.25" x14ac:dyDescent="0.2">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4.25" x14ac:dyDescent="0.2">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4.25" x14ac:dyDescent="0.2">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4.25" x14ac:dyDescent="0.2">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4.25" x14ac:dyDescent="0.2">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4.25" x14ac:dyDescent="0.2">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4.25" x14ac:dyDescent="0.2">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4.25" x14ac:dyDescent="0.2">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4.25" x14ac:dyDescent="0.2">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4.25" x14ac:dyDescent="0.2">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4.25" x14ac:dyDescent="0.2">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4.25" x14ac:dyDescent="0.2">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4.25" x14ac:dyDescent="0.2">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4.25" x14ac:dyDescent="0.2">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4.25" x14ac:dyDescent="0.2">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4.25" x14ac:dyDescent="0.2">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4.25" x14ac:dyDescent="0.2">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4.25" x14ac:dyDescent="0.2">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4.25" x14ac:dyDescent="0.2">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4.25" x14ac:dyDescent="0.2">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4.25" x14ac:dyDescent="0.2">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4.25" x14ac:dyDescent="0.2">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4.25" x14ac:dyDescent="0.2">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4.25" x14ac:dyDescent="0.2">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4.25" x14ac:dyDescent="0.2">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4.25" x14ac:dyDescent="0.2">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4.25" x14ac:dyDescent="0.2">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4.25" x14ac:dyDescent="0.2">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4.25" x14ac:dyDescent="0.2">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4.25" x14ac:dyDescent="0.2">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4.25" x14ac:dyDescent="0.2">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4.25" x14ac:dyDescent="0.2">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4.25" x14ac:dyDescent="0.2">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4.25" x14ac:dyDescent="0.2">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4.25" x14ac:dyDescent="0.2">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4.25" x14ac:dyDescent="0.2">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4.25" x14ac:dyDescent="0.2">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4.25" x14ac:dyDescent="0.2">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4.25" x14ac:dyDescent="0.2">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4.25" x14ac:dyDescent="0.2">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4.25" x14ac:dyDescent="0.2">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4.25" x14ac:dyDescent="0.2">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4.25" x14ac:dyDescent="0.2">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4.25" x14ac:dyDescent="0.2">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4.25" x14ac:dyDescent="0.2">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4.25" x14ac:dyDescent="0.2">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5" thickBot="1" x14ac:dyDescent="0.25">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5" thickBot="1" x14ac:dyDescent="0.25">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4.25" x14ac:dyDescent="0.2"/>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5" hidden="1" customHeight="1" x14ac:dyDescent="0.2"/>
    <row r="268" spans="2:42" ht="15" hidden="1" customHeight="1" x14ac:dyDescent="0.2"/>
    <row r="269" spans="2:42" ht="15" hidden="1" customHeight="1" x14ac:dyDescent="0.2"/>
    <row r="270" spans="2:42" ht="15" hidden="1" customHeight="1" x14ac:dyDescent="0.2"/>
    <row r="271" spans="2:42" ht="15" hidden="1" customHeight="1" x14ac:dyDescent="0.2"/>
    <row r="272" spans="2:4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x14ac:dyDescent="0.25">
      <c r="B1" s="31"/>
      <c r="C1" s="31"/>
    </row>
    <row r="2" spans="2:42" ht="19.5" customHeight="1" thickBot="1" x14ac:dyDescent="0.25">
      <c r="B2" s="986" t="str">
        <f>IF([2]Start!F12="","",[2]Start!F12)</f>
        <v/>
      </c>
      <c r="C2" s="987"/>
      <c r="D2" s="988"/>
    </row>
    <row r="3" spans="2:42" ht="15" customHeight="1" x14ac:dyDescent="0.2">
      <c r="B3" s="1015" t="str">
        <f ca="1">MID(CELL("filename",A1),FIND("]",CELL("filename",A1))+1,256)</f>
        <v>C-1 Site River Baseline</v>
      </c>
      <c r="C3" s="1016"/>
      <c r="D3" s="1017"/>
    </row>
    <row r="4" spans="2:42" ht="19.899999999999999" customHeight="1" thickBot="1" x14ac:dyDescent="0.25">
      <c r="B4" s="943"/>
      <c r="C4" s="944"/>
      <c r="D4" s="945"/>
    </row>
    <row r="5" spans="2:42" ht="19.149999999999999" customHeight="1" x14ac:dyDescent="0.2">
      <c r="B5" s="31"/>
      <c r="C5" s="31"/>
      <c r="F5" s="131"/>
      <c r="T5" s="1018" t="str">
        <f>IF(SUM(AG10:AG257)&gt;0,"Check Lengths ⚠","")</f>
        <v/>
      </c>
      <c r="U5" s="1018"/>
      <c r="V5" s="1018"/>
      <c r="W5" s="1018"/>
      <c r="X5" s="1018"/>
      <c r="Y5" s="1018"/>
    </row>
    <row r="6" spans="2:42" ht="15.75" customHeight="1" x14ac:dyDescent="0.2">
      <c r="B6" s="31"/>
      <c r="C6" s="31"/>
      <c r="T6" s="1018"/>
      <c r="U6" s="1018"/>
      <c r="V6" s="1018"/>
      <c r="W6" s="1018"/>
      <c r="X6" s="1018"/>
      <c r="Y6" s="1018"/>
    </row>
    <row r="7" spans="2:42" ht="46.15" customHeight="1" thickBot="1" x14ac:dyDescent="0.25"/>
    <row r="8" spans="2:42" ht="29.25" thickBot="1" x14ac:dyDescent="0.25">
      <c r="C8" s="949" t="s">
        <v>344</v>
      </c>
      <c r="D8" s="949"/>
      <c r="E8" s="949"/>
      <c r="F8" s="939" t="s">
        <v>297</v>
      </c>
      <c r="G8" s="939"/>
      <c r="H8" s="939" t="s">
        <v>298</v>
      </c>
      <c r="I8" s="939"/>
      <c r="J8" s="949" t="s">
        <v>197</v>
      </c>
      <c r="K8" s="949"/>
      <c r="L8" s="949"/>
      <c r="M8" s="939" t="s">
        <v>345</v>
      </c>
      <c r="N8" s="939"/>
      <c r="O8" s="939" t="s">
        <v>346</v>
      </c>
      <c r="P8" s="939"/>
      <c r="Q8" s="938" t="s">
        <v>334</v>
      </c>
      <c r="R8" s="167" t="s">
        <v>199</v>
      </c>
      <c r="S8" s="134"/>
      <c r="T8" s="949" t="s">
        <v>200</v>
      </c>
      <c r="U8" s="949"/>
      <c r="V8" s="949"/>
      <c r="W8" s="949"/>
      <c r="X8" s="949"/>
      <c r="Y8" s="949"/>
      <c r="Z8" s="985" t="s">
        <v>202</v>
      </c>
      <c r="AA8" s="985"/>
    </row>
    <row r="9" spans="2:42" ht="57.75" thickBot="1" x14ac:dyDescent="0.25">
      <c r="C9" s="367" t="s">
        <v>278</v>
      </c>
      <c r="D9" s="200" t="s">
        <v>144</v>
      </c>
      <c r="E9" s="201" t="s">
        <v>319</v>
      </c>
      <c r="F9" s="367" t="s">
        <v>195</v>
      </c>
      <c r="G9" s="201" t="s">
        <v>212</v>
      </c>
      <c r="H9" s="367" t="s">
        <v>196</v>
      </c>
      <c r="I9" s="201" t="s">
        <v>212</v>
      </c>
      <c r="J9" s="367" t="s">
        <v>197</v>
      </c>
      <c r="K9" s="200" t="s">
        <v>197</v>
      </c>
      <c r="L9" s="201" t="s">
        <v>347</v>
      </c>
      <c r="M9" s="367" t="s">
        <v>348</v>
      </c>
      <c r="N9" s="201" t="s">
        <v>349</v>
      </c>
      <c r="O9" s="367" t="s">
        <v>348</v>
      </c>
      <c r="P9" s="201" t="s">
        <v>349</v>
      </c>
      <c r="Q9" s="939"/>
      <c r="R9" s="420" t="s">
        <v>350</v>
      </c>
      <c r="S9" s="138"/>
      <c r="T9" s="367" t="s">
        <v>321</v>
      </c>
      <c r="U9" s="200" t="s">
        <v>322</v>
      </c>
      <c r="V9" s="200" t="s">
        <v>323</v>
      </c>
      <c r="W9" s="200" t="s">
        <v>324</v>
      </c>
      <c r="X9" s="200" t="s">
        <v>351</v>
      </c>
      <c r="Y9" s="201" t="s">
        <v>352</v>
      </c>
      <c r="Z9" s="133" t="s">
        <v>353</v>
      </c>
      <c r="AA9" s="133" t="s">
        <v>222</v>
      </c>
      <c r="AG9" s="42" t="s">
        <v>354</v>
      </c>
      <c r="AH9" s="156" t="s">
        <v>225</v>
      </c>
      <c r="AI9" s="156" t="s">
        <v>226</v>
      </c>
      <c r="AK9" s="156" t="s">
        <v>228</v>
      </c>
      <c r="AM9" s="156" t="s">
        <v>225</v>
      </c>
      <c r="AN9" s="156" t="s">
        <v>226</v>
      </c>
      <c r="AP9" s="131" t="s">
        <v>206</v>
      </c>
    </row>
    <row r="10" spans="2:42" ht="14.25" x14ac:dyDescent="0.2">
      <c r="C10" s="141">
        <v>1</v>
      </c>
      <c r="D10" s="458"/>
      <c r="E10" s="70"/>
      <c r="F10" s="497" t="str">
        <f>IF(D10="","",VLOOKUP(D10,'G-7 Rivers Data'!$B$2:$G$8,2,FALSE))</f>
        <v/>
      </c>
      <c r="G10" s="498" t="str">
        <f>IFERROR(VLOOKUP(F10,'G-7 Rivers Data'!$C$4:$D$8,2,FALSE),"")</f>
        <v/>
      </c>
      <c r="H10" s="71"/>
      <c r="I10" s="498" t="str">
        <f>IFERROR(INDEX('G-7 Rivers Data'!$H$4:$L$8,MATCH(D10,'G-7 Rivers Data'!$B$4:$B$8,0),MATCH(H10,'G-7 Rivers Data'!$H$3:$L$3,0)),"")</f>
        <v/>
      </c>
      <c r="J10" s="425"/>
      <c r="K10" s="536" t="str">
        <f>IF(J10="","",IF(VLOOKUP(J10,'G-7 Rivers Data'!$AK$4:$AM$9,2,FALSE)=0,"Spatial Data Missing ⚠",VLOOKUP(J10,'G-7 Rivers Data'!$AK$4:$AM$9,2,FALSE)))</f>
        <v/>
      </c>
      <c r="L10" s="504"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Data'!$B$2:$G$8,6,FALSE))</f>
        <v/>
      </c>
      <c r="R10" s="512" t="str">
        <f>IFERROR(IF(D10="","",E10*G10*I10*L10*N10*P10),"")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4.25" x14ac:dyDescent="0.2">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4.25" x14ac:dyDescent="0.2">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4.25" x14ac:dyDescent="0.2">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4.25" x14ac:dyDescent="0.2">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4.25" x14ac:dyDescent="0.2">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5" customHeight="1" x14ac:dyDescent="0.2">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4.25" x14ac:dyDescent="0.2">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4.25" x14ac:dyDescent="0.2">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2">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4.25" x14ac:dyDescent="0.2">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4.25" x14ac:dyDescent="0.2">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4.25" x14ac:dyDescent="0.2">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4.25" x14ac:dyDescent="0.2">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4.25" x14ac:dyDescent="0.2">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4.25" x14ac:dyDescent="0.2">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4.25" x14ac:dyDescent="0.2">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4.25" x14ac:dyDescent="0.2">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4.25" x14ac:dyDescent="0.2">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4.25" x14ac:dyDescent="0.2">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25" x14ac:dyDescent="0.2">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25" x14ac:dyDescent="0.2">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25" x14ac:dyDescent="0.2">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25" x14ac:dyDescent="0.2">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25" x14ac:dyDescent="0.2">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25" x14ac:dyDescent="0.2">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25" x14ac:dyDescent="0.2">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25" x14ac:dyDescent="0.2">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25" x14ac:dyDescent="0.2">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25" x14ac:dyDescent="0.2">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25" x14ac:dyDescent="0.2">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25" x14ac:dyDescent="0.2">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25" x14ac:dyDescent="0.2">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25" x14ac:dyDescent="0.2">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25" x14ac:dyDescent="0.2">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25" x14ac:dyDescent="0.2">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25" x14ac:dyDescent="0.2">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25" x14ac:dyDescent="0.2">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25" x14ac:dyDescent="0.2">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25" x14ac:dyDescent="0.2">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25" x14ac:dyDescent="0.2">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25" x14ac:dyDescent="0.2">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25" x14ac:dyDescent="0.2">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25" x14ac:dyDescent="0.2">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25" x14ac:dyDescent="0.2">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25" x14ac:dyDescent="0.2">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25" x14ac:dyDescent="0.2">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25" x14ac:dyDescent="0.2">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25" x14ac:dyDescent="0.2">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25" x14ac:dyDescent="0.2">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25" x14ac:dyDescent="0.2">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25" x14ac:dyDescent="0.2">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25" x14ac:dyDescent="0.2">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25" x14ac:dyDescent="0.2">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25" x14ac:dyDescent="0.2">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25" x14ac:dyDescent="0.2">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25" x14ac:dyDescent="0.2">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25" x14ac:dyDescent="0.2">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25" x14ac:dyDescent="0.2">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25" x14ac:dyDescent="0.2">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25" x14ac:dyDescent="0.2">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25" x14ac:dyDescent="0.2">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25" x14ac:dyDescent="0.2">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25" x14ac:dyDescent="0.2">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25" x14ac:dyDescent="0.2">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25" x14ac:dyDescent="0.2">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25" x14ac:dyDescent="0.2">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25" x14ac:dyDescent="0.2">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25" x14ac:dyDescent="0.2">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25" x14ac:dyDescent="0.2">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25" x14ac:dyDescent="0.2">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25" x14ac:dyDescent="0.2">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25" x14ac:dyDescent="0.2">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25" x14ac:dyDescent="0.2">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25" x14ac:dyDescent="0.2">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25" x14ac:dyDescent="0.2">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25" x14ac:dyDescent="0.2">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25" x14ac:dyDescent="0.2">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25" x14ac:dyDescent="0.2">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25" x14ac:dyDescent="0.2">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25" x14ac:dyDescent="0.2">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25" x14ac:dyDescent="0.2">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25" x14ac:dyDescent="0.2">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25" x14ac:dyDescent="0.2">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25" x14ac:dyDescent="0.2">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25" x14ac:dyDescent="0.2">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25" x14ac:dyDescent="0.2">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25" x14ac:dyDescent="0.2">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25" x14ac:dyDescent="0.2">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25" x14ac:dyDescent="0.2">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25" x14ac:dyDescent="0.2">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25" x14ac:dyDescent="0.2">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25" x14ac:dyDescent="0.2">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25" x14ac:dyDescent="0.2">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25" x14ac:dyDescent="0.2">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25" x14ac:dyDescent="0.2">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25" x14ac:dyDescent="0.2">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25" x14ac:dyDescent="0.2">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25" x14ac:dyDescent="0.2">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25" x14ac:dyDescent="0.2">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25" x14ac:dyDescent="0.2">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25" x14ac:dyDescent="0.2">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25" x14ac:dyDescent="0.2">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25" x14ac:dyDescent="0.2">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25" x14ac:dyDescent="0.2">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25" x14ac:dyDescent="0.2">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25" x14ac:dyDescent="0.2">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25" x14ac:dyDescent="0.2">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25" x14ac:dyDescent="0.2">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25" x14ac:dyDescent="0.2">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25" x14ac:dyDescent="0.2">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25" x14ac:dyDescent="0.2">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25" x14ac:dyDescent="0.2">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25" x14ac:dyDescent="0.2">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25" x14ac:dyDescent="0.2">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25" x14ac:dyDescent="0.2">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25" x14ac:dyDescent="0.2">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25" x14ac:dyDescent="0.2">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25" x14ac:dyDescent="0.2">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25" x14ac:dyDescent="0.2">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25" x14ac:dyDescent="0.2">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25" x14ac:dyDescent="0.2">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25" x14ac:dyDescent="0.2">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25" x14ac:dyDescent="0.2">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25" x14ac:dyDescent="0.2">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25" x14ac:dyDescent="0.2">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25" x14ac:dyDescent="0.2">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25" x14ac:dyDescent="0.2">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25" x14ac:dyDescent="0.2">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25" x14ac:dyDescent="0.2">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25" x14ac:dyDescent="0.2">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25" x14ac:dyDescent="0.2">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25" x14ac:dyDescent="0.2">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25" x14ac:dyDescent="0.2">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25" x14ac:dyDescent="0.2">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25" x14ac:dyDescent="0.2">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25" x14ac:dyDescent="0.2">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25" x14ac:dyDescent="0.2">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25" x14ac:dyDescent="0.2">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25" x14ac:dyDescent="0.2">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25" x14ac:dyDescent="0.2">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25" x14ac:dyDescent="0.2">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25" x14ac:dyDescent="0.2">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25" x14ac:dyDescent="0.2">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25" x14ac:dyDescent="0.2">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25" x14ac:dyDescent="0.2">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25" x14ac:dyDescent="0.2">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25" x14ac:dyDescent="0.2">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25" x14ac:dyDescent="0.2">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25" x14ac:dyDescent="0.2">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25" x14ac:dyDescent="0.2">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25" x14ac:dyDescent="0.2">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25" x14ac:dyDescent="0.2">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25" x14ac:dyDescent="0.2">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25" x14ac:dyDescent="0.2">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25" x14ac:dyDescent="0.2">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25" x14ac:dyDescent="0.2">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25" x14ac:dyDescent="0.2">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25" x14ac:dyDescent="0.2">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25" x14ac:dyDescent="0.2">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25" x14ac:dyDescent="0.2">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25" x14ac:dyDescent="0.2">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25" x14ac:dyDescent="0.2">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25" x14ac:dyDescent="0.2">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25" x14ac:dyDescent="0.2">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25" x14ac:dyDescent="0.2">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25" x14ac:dyDescent="0.2">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25" x14ac:dyDescent="0.2">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25" x14ac:dyDescent="0.2">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25" x14ac:dyDescent="0.2">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25" x14ac:dyDescent="0.2">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25" x14ac:dyDescent="0.2">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25" x14ac:dyDescent="0.2">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25" x14ac:dyDescent="0.2">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25" x14ac:dyDescent="0.2">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25" x14ac:dyDescent="0.2">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25" x14ac:dyDescent="0.2">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25" x14ac:dyDescent="0.2">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25" x14ac:dyDescent="0.2">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25" x14ac:dyDescent="0.2">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25" x14ac:dyDescent="0.2">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25" x14ac:dyDescent="0.2">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25" x14ac:dyDescent="0.2">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25" x14ac:dyDescent="0.2">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25" x14ac:dyDescent="0.2">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25" x14ac:dyDescent="0.2">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25" x14ac:dyDescent="0.2">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25" x14ac:dyDescent="0.2">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25" x14ac:dyDescent="0.2">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25" x14ac:dyDescent="0.2">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25" x14ac:dyDescent="0.2">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25" x14ac:dyDescent="0.2">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25" x14ac:dyDescent="0.2">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25" x14ac:dyDescent="0.2">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25" x14ac:dyDescent="0.2">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25" x14ac:dyDescent="0.2">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25" x14ac:dyDescent="0.2">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25" x14ac:dyDescent="0.2">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25" x14ac:dyDescent="0.2">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25" x14ac:dyDescent="0.2">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25" x14ac:dyDescent="0.2">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25" x14ac:dyDescent="0.2">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25" x14ac:dyDescent="0.2">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25" x14ac:dyDescent="0.2">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25" x14ac:dyDescent="0.2">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25" x14ac:dyDescent="0.2">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25" x14ac:dyDescent="0.2">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25" x14ac:dyDescent="0.2">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25" x14ac:dyDescent="0.2">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25" x14ac:dyDescent="0.2">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25" x14ac:dyDescent="0.2">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25" x14ac:dyDescent="0.2">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25" x14ac:dyDescent="0.2">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25" x14ac:dyDescent="0.2">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25" x14ac:dyDescent="0.2">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25" x14ac:dyDescent="0.2">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25" x14ac:dyDescent="0.2">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25" x14ac:dyDescent="0.2">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25" x14ac:dyDescent="0.2">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25" x14ac:dyDescent="0.2">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25" x14ac:dyDescent="0.2">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25" x14ac:dyDescent="0.2">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25" x14ac:dyDescent="0.2">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25" x14ac:dyDescent="0.2">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25" x14ac:dyDescent="0.2">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25" x14ac:dyDescent="0.2">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25" x14ac:dyDescent="0.2">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25" x14ac:dyDescent="0.2">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25" x14ac:dyDescent="0.2">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25" x14ac:dyDescent="0.2">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25" x14ac:dyDescent="0.2">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25" x14ac:dyDescent="0.2">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25" x14ac:dyDescent="0.2">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25" x14ac:dyDescent="0.2">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25" x14ac:dyDescent="0.2">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25" x14ac:dyDescent="0.2">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25" x14ac:dyDescent="0.2">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25" x14ac:dyDescent="0.2">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25" x14ac:dyDescent="0.2">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25" x14ac:dyDescent="0.2">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25" x14ac:dyDescent="0.2">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25" x14ac:dyDescent="0.2">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25" x14ac:dyDescent="0.2">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25" x14ac:dyDescent="0.2">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25" x14ac:dyDescent="0.2">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25" x14ac:dyDescent="0.2">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x14ac:dyDescent="0.2">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x14ac:dyDescent="0.25">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x14ac:dyDescent="0.25">
      <c r="B258" s="31"/>
      <c r="C258" s="46"/>
      <c r="D258" s="442"/>
      <c r="E258" s="562">
        <f>SUM(E10:E257)</f>
        <v>0</v>
      </c>
      <c r="F258" s="46"/>
      <c r="G258" s="46"/>
      <c r="H258" s="46"/>
      <c r="I258" s="46"/>
      <c r="J258" s="46"/>
      <c r="K258" s="46"/>
      <c r="L258" s="46"/>
      <c r="M258" s="46"/>
      <c r="N258" s="46"/>
      <c r="O258" s="46"/>
      <c r="P258" s="1013"/>
      <c r="Q258" s="1014"/>
      <c r="R258" s="562">
        <f>SUM(R10:R257)</f>
        <v>0</v>
      </c>
      <c r="S258" s="166"/>
      <c r="T258" s="516">
        <f>SUM(T10:T257)</f>
        <v>0</v>
      </c>
      <c r="U258" s="517">
        <f>SUM(U10:U257)</f>
        <v>0</v>
      </c>
      <c r="V258" s="517">
        <f>SUM(V10:V257)</f>
        <v>0</v>
      </c>
      <c r="W258" s="517">
        <f t="shared" ref="W258:X258" si="32">SUM(W10:W257)</f>
        <v>0</v>
      </c>
      <c r="X258" s="517">
        <f t="shared" si="32"/>
        <v>0</v>
      </c>
      <c r="Y258" s="514">
        <f t="shared" si="28"/>
        <v>0</v>
      </c>
    </row>
    <row r="259" spans="2:42" ht="14.25" x14ac:dyDescent="0.2">
      <c r="B259" s="31"/>
      <c r="C259" s="31"/>
      <c r="S259" s="166"/>
      <c r="T259" s="166"/>
      <c r="U259" s="166"/>
      <c r="V259" s="166"/>
      <c r="W259" s="166"/>
      <c r="X259" s="166"/>
      <c r="Y259" s="166"/>
    </row>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4.25" x14ac:dyDescent="0.2"/>
    <row r="268" spans="2:42" ht="14.25" x14ac:dyDescent="0.2"/>
    <row r="269" spans="2:42" ht="14.25" x14ac:dyDescent="0.2"/>
    <row r="270" spans="2:42" ht="14.25" x14ac:dyDescent="0.2"/>
    <row r="271" spans="2:42" ht="14.25" x14ac:dyDescent="0.2"/>
    <row r="272" spans="2:42" ht="14.25" x14ac:dyDescent="0.2"/>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 hidden="1" thickBot="1" x14ac:dyDescent="0.25"/>
    <row r="2" spans="2:34" ht="24.6" customHeight="1" thickBot="1" x14ac:dyDescent="0.25">
      <c r="B2" s="986" t="str">
        <f>IF([2]Start!F12="","",[2]Start!F12)</f>
        <v/>
      </c>
      <c r="C2" s="987"/>
      <c r="D2" s="987"/>
      <c r="E2" s="988"/>
    </row>
    <row r="3" spans="2:34" ht="15.6" customHeight="1" thickBot="1" x14ac:dyDescent="0.25">
      <c r="B3" s="1019" t="str">
        <f ca="1">MID(CELL("filename",A1),FIND("]",CELL("filename",A1))+1,256)</f>
        <v>C-2 Site River Creation</v>
      </c>
      <c r="C3" s="1020"/>
      <c r="D3" s="1020"/>
      <c r="E3" s="1021"/>
      <c r="L3" s="908" t="str">
        <f>IF(OR(COUNTIF(L$12:$L260,"*30+*")&gt;0,COUNTIF(P$12:$P260,"*30+*")&gt;0),"Note; Habitat selected has a time to target condition greater than 30 years. Non standard agreement may be required. ⚠","")</f>
        <v/>
      </c>
      <c r="M3" s="908"/>
      <c r="N3" s="908"/>
      <c r="O3" s="908"/>
      <c r="P3" s="908"/>
      <c r="Q3" s="908"/>
    </row>
    <row r="4" spans="2:34" ht="15" customHeight="1" thickBot="1" x14ac:dyDescent="0.25">
      <c r="B4" s="1019"/>
      <c r="C4" s="1020"/>
      <c r="D4" s="1020"/>
      <c r="E4" s="1021"/>
      <c r="L4" s="908"/>
      <c r="M4" s="908"/>
      <c r="N4" s="908"/>
      <c r="O4" s="908"/>
      <c r="P4" s="908"/>
      <c r="Q4" s="908"/>
    </row>
    <row r="5" spans="2:34" ht="26.45" customHeight="1" x14ac:dyDescent="0.2">
      <c r="L5" s="908"/>
      <c r="M5" s="908"/>
      <c r="N5" s="908"/>
      <c r="O5" s="908"/>
      <c r="P5" s="908"/>
      <c r="Q5" s="908"/>
    </row>
    <row r="6" spans="2:34" ht="23.25" customHeight="1" x14ac:dyDescent="0.2">
      <c r="L6" s="402"/>
      <c r="M6" s="402"/>
      <c r="N6" s="402"/>
      <c r="O6" s="402"/>
      <c r="P6" s="402"/>
    </row>
    <row r="7" spans="2:34" ht="6" customHeight="1" x14ac:dyDescent="0.2">
      <c r="L7" s="402"/>
      <c r="M7" s="402"/>
      <c r="N7" s="402"/>
      <c r="O7" s="402"/>
      <c r="P7" s="402"/>
    </row>
    <row r="8" spans="2:34" ht="6" customHeight="1" x14ac:dyDescent="0.2"/>
    <row r="9" spans="2:34" ht="15.75" customHeight="1" thickBot="1" x14ac:dyDescent="0.25"/>
    <row r="10" spans="2:34" s="42" customFormat="1" ht="29.25" customHeight="1" thickBot="1" x14ac:dyDescent="0.25">
      <c r="B10" s="246"/>
      <c r="C10" s="939" t="s">
        <v>326</v>
      </c>
      <c r="D10" s="939"/>
      <c r="E10" s="939" t="s">
        <v>297</v>
      </c>
      <c r="F10" s="939"/>
      <c r="G10" s="939" t="s">
        <v>298</v>
      </c>
      <c r="H10" s="939"/>
      <c r="I10" s="939" t="s">
        <v>197</v>
      </c>
      <c r="J10" s="939"/>
      <c r="K10" s="939"/>
      <c r="L10" s="966" t="s">
        <v>252</v>
      </c>
      <c r="M10" s="967"/>
      <c r="N10" s="967"/>
      <c r="O10" s="967"/>
      <c r="P10" s="967"/>
      <c r="Q10" s="968"/>
      <c r="R10" s="966" t="s">
        <v>253</v>
      </c>
      <c r="S10" s="967"/>
      <c r="T10" s="967"/>
      <c r="U10" s="968"/>
      <c r="V10" s="939" t="s">
        <v>345</v>
      </c>
      <c r="W10" s="939"/>
      <c r="X10" s="939" t="s">
        <v>346</v>
      </c>
      <c r="Y10" s="939"/>
      <c r="Z10" s="938" t="s">
        <v>355</v>
      </c>
      <c r="AA10" s="879" t="s">
        <v>202</v>
      </c>
      <c r="AB10" s="877"/>
    </row>
    <row r="11" spans="2:34" s="42" customFormat="1" ht="71.25" x14ac:dyDescent="0.2">
      <c r="B11" s="135" t="s">
        <v>278</v>
      </c>
      <c r="C11" s="200" t="s">
        <v>144</v>
      </c>
      <c r="D11" s="201" t="s">
        <v>319</v>
      </c>
      <c r="E11" s="367" t="s">
        <v>195</v>
      </c>
      <c r="F11" s="201" t="s">
        <v>212</v>
      </c>
      <c r="G11" s="367" t="s">
        <v>196</v>
      </c>
      <c r="H11" s="201" t="s">
        <v>212</v>
      </c>
      <c r="I11" s="367" t="s">
        <v>197</v>
      </c>
      <c r="J11" s="200" t="s">
        <v>197</v>
      </c>
      <c r="K11" s="201" t="s">
        <v>255</v>
      </c>
      <c r="L11" s="367" t="s">
        <v>329</v>
      </c>
      <c r="M11" s="200" t="s">
        <v>257</v>
      </c>
      <c r="N11" s="200" t="s">
        <v>258</v>
      </c>
      <c r="O11" s="200" t="s">
        <v>259</v>
      </c>
      <c r="P11" s="200" t="s">
        <v>260</v>
      </c>
      <c r="Q11" s="201" t="s">
        <v>337</v>
      </c>
      <c r="R11" s="367" t="s">
        <v>262</v>
      </c>
      <c r="S11" s="200" t="s">
        <v>356</v>
      </c>
      <c r="T11" s="200" t="s">
        <v>264</v>
      </c>
      <c r="U11" s="201" t="s">
        <v>265</v>
      </c>
      <c r="V11" s="141" t="s">
        <v>348</v>
      </c>
      <c r="W11" s="358" t="s">
        <v>349</v>
      </c>
      <c r="X11" s="141" t="s">
        <v>348</v>
      </c>
      <c r="Y11" s="358" t="s">
        <v>349</v>
      </c>
      <c r="Z11" s="939"/>
      <c r="AA11" s="141" t="s">
        <v>221</v>
      </c>
      <c r="AB11" s="358" t="s">
        <v>222</v>
      </c>
      <c r="AH11" s="260" t="s">
        <v>206</v>
      </c>
    </row>
    <row r="12" spans="2:34" ht="75.95" customHeight="1" x14ac:dyDescent="0.2">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4.25" x14ac:dyDescent="0.2">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4.25" x14ac:dyDescent="0.2">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4.25" x14ac:dyDescent="0.2">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4.25" x14ac:dyDescent="0.2">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4.25" x14ac:dyDescent="0.2">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4.25" x14ac:dyDescent="0.2">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4.25" x14ac:dyDescent="0.2">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4.25" x14ac:dyDescent="0.2">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4.25" x14ac:dyDescent="0.2">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4.25" x14ac:dyDescent="0.2">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4.25" x14ac:dyDescent="0.2">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4.25" x14ac:dyDescent="0.2">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4.25" x14ac:dyDescent="0.2">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4.25" x14ac:dyDescent="0.2">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4.25" x14ac:dyDescent="0.2">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4.25" x14ac:dyDescent="0.2">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4.25" x14ac:dyDescent="0.2">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4.25" x14ac:dyDescent="0.2">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4.25" x14ac:dyDescent="0.2">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4.25" x14ac:dyDescent="0.2">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4.25" x14ac:dyDescent="0.2">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4.25" x14ac:dyDescent="0.2">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4.25" x14ac:dyDescent="0.2">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4.25" x14ac:dyDescent="0.2">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4.25" x14ac:dyDescent="0.2">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4.25" x14ac:dyDescent="0.2">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4.25" x14ac:dyDescent="0.2">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4.25" x14ac:dyDescent="0.2">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4.25" x14ac:dyDescent="0.2">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4.25" x14ac:dyDescent="0.2">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4.25" x14ac:dyDescent="0.2">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4.25" x14ac:dyDescent="0.2">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4.25" x14ac:dyDescent="0.2">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4.25" x14ac:dyDescent="0.2">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4.25" x14ac:dyDescent="0.2">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4.25" x14ac:dyDescent="0.2">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4.25" x14ac:dyDescent="0.2">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4.25" x14ac:dyDescent="0.2">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4.25" x14ac:dyDescent="0.2">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4.25" x14ac:dyDescent="0.2">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4.25" x14ac:dyDescent="0.2">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4.25" x14ac:dyDescent="0.2">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4.25" x14ac:dyDescent="0.2">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4.25" x14ac:dyDescent="0.2">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4.25" x14ac:dyDescent="0.2">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4.25" x14ac:dyDescent="0.2">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4.25" x14ac:dyDescent="0.2">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4.25" x14ac:dyDescent="0.2">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4.25" x14ac:dyDescent="0.2">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4.25" x14ac:dyDescent="0.2">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4.25" x14ac:dyDescent="0.2">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4.25" x14ac:dyDescent="0.2">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4.25" x14ac:dyDescent="0.2">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4.25" x14ac:dyDescent="0.2">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4.25" x14ac:dyDescent="0.2">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4.25" x14ac:dyDescent="0.2">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4.25" x14ac:dyDescent="0.2">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4.25" x14ac:dyDescent="0.2">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4.25" x14ac:dyDescent="0.2">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4.25" x14ac:dyDescent="0.2">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4.25" x14ac:dyDescent="0.2">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4.25" x14ac:dyDescent="0.2">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4.25" x14ac:dyDescent="0.2">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4.25" x14ac:dyDescent="0.2">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4.25" x14ac:dyDescent="0.2">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4.25" x14ac:dyDescent="0.2">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4.25" x14ac:dyDescent="0.2">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4.25" x14ac:dyDescent="0.2">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4.25" x14ac:dyDescent="0.2">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4.25" x14ac:dyDescent="0.2">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4.25" x14ac:dyDescent="0.2">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4.25" x14ac:dyDescent="0.2">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4.25" x14ac:dyDescent="0.2">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4.25" x14ac:dyDescent="0.2">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4.25" x14ac:dyDescent="0.2">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4.25" x14ac:dyDescent="0.2">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4.25" x14ac:dyDescent="0.2">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4.25" x14ac:dyDescent="0.2">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4.25" x14ac:dyDescent="0.2">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4.25" x14ac:dyDescent="0.2">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4.25" x14ac:dyDescent="0.2">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4.25" x14ac:dyDescent="0.2">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4.25" x14ac:dyDescent="0.2">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4.25" x14ac:dyDescent="0.2">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4.25" x14ac:dyDescent="0.2">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4.25" x14ac:dyDescent="0.2">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4.25" x14ac:dyDescent="0.2">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4.25" x14ac:dyDescent="0.2">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4.25" x14ac:dyDescent="0.2">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4.25" x14ac:dyDescent="0.2">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4.25" x14ac:dyDescent="0.2">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4.25" x14ac:dyDescent="0.2">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4.25" x14ac:dyDescent="0.2">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4.25" x14ac:dyDescent="0.2">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4.25" x14ac:dyDescent="0.2">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4.25" x14ac:dyDescent="0.2">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4.25" x14ac:dyDescent="0.2">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4.25" x14ac:dyDescent="0.2">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4.25" x14ac:dyDescent="0.2">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4.25" x14ac:dyDescent="0.2">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4.25" x14ac:dyDescent="0.2">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4.25" x14ac:dyDescent="0.2">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4.25" x14ac:dyDescent="0.2">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4.25" x14ac:dyDescent="0.2">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4.25" x14ac:dyDescent="0.2">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4.25" x14ac:dyDescent="0.2">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4.25" x14ac:dyDescent="0.2">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4.25" x14ac:dyDescent="0.2">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4.25" x14ac:dyDescent="0.2">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4.25" x14ac:dyDescent="0.2">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4.25" x14ac:dyDescent="0.2">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4.25" x14ac:dyDescent="0.2">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4.25" x14ac:dyDescent="0.2">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4.25" x14ac:dyDescent="0.2">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4.25" x14ac:dyDescent="0.2">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4.25" x14ac:dyDescent="0.2">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4.25" x14ac:dyDescent="0.2">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4.25" x14ac:dyDescent="0.2">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4.25" x14ac:dyDescent="0.2">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4.25" x14ac:dyDescent="0.2">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4.25" x14ac:dyDescent="0.2">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4.25" x14ac:dyDescent="0.2">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4.25" x14ac:dyDescent="0.2">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4.25" x14ac:dyDescent="0.2">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4.25" x14ac:dyDescent="0.2">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4.25" x14ac:dyDescent="0.2">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4.25" x14ac:dyDescent="0.2">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4.25" x14ac:dyDescent="0.2">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4.25" x14ac:dyDescent="0.2">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4.25" x14ac:dyDescent="0.2">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4.25" x14ac:dyDescent="0.2">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4.25" x14ac:dyDescent="0.2">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4.25" x14ac:dyDescent="0.2">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4.25" x14ac:dyDescent="0.2">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4.25" x14ac:dyDescent="0.2">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4.25" x14ac:dyDescent="0.2">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4.25" x14ac:dyDescent="0.2">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4.25" x14ac:dyDescent="0.2">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4.25" x14ac:dyDescent="0.2">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4.25" x14ac:dyDescent="0.2">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4.25" x14ac:dyDescent="0.2">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4.25" x14ac:dyDescent="0.2">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4.25" x14ac:dyDescent="0.2">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4.25" x14ac:dyDescent="0.2">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4.25" x14ac:dyDescent="0.2">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4.25" x14ac:dyDescent="0.2">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4.25" x14ac:dyDescent="0.2">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4.25" x14ac:dyDescent="0.2">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4.25" x14ac:dyDescent="0.2">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4.25" x14ac:dyDescent="0.2">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4.25" x14ac:dyDescent="0.2">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4.25" x14ac:dyDescent="0.2">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4.25" x14ac:dyDescent="0.2">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4.25" x14ac:dyDescent="0.2">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4.25" x14ac:dyDescent="0.2">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4.25" x14ac:dyDescent="0.2">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4.25" x14ac:dyDescent="0.2">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4.25" x14ac:dyDescent="0.2">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4.25" x14ac:dyDescent="0.2">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4.25" x14ac:dyDescent="0.2">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4.25" x14ac:dyDescent="0.2">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4.25" x14ac:dyDescent="0.2">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4.25" x14ac:dyDescent="0.2">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4.25" x14ac:dyDescent="0.2">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4.25" x14ac:dyDescent="0.2">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4.25" x14ac:dyDescent="0.2">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4.25" x14ac:dyDescent="0.2">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4.25" x14ac:dyDescent="0.2">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4.25" x14ac:dyDescent="0.2">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4.25" x14ac:dyDescent="0.2">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4.25" x14ac:dyDescent="0.2">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4.25" x14ac:dyDescent="0.2">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4.25" x14ac:dyDescent="0.2">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4.25" x14ac:dyDescent="0.2">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4.25" x14ac:dyDescent="0.2">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4.25" x14ac:dyDescent="0.2">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4.25" x14ac:dyDescent="0.2">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4.25" x14ac:dyDescent="0.2">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4.25" x14ac:dyDescent="0.2">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4.25" x14ac:dyDescent="0.2">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4.25" x14ac:dyDescent="0.2">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4.25" x14ac:dyDescent="0.2">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4.25" x14ac:dyDescent="0.2">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4.25" x14ac:dyDescent="0.2">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4.25" x14ac:dyDescent="0.2">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4.25" x14ac:dyDescent="0.2">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4.25" x14ac:dyDescent="0.2">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4.25" x14ac:dyDescent="0.2">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4.25" x14ac:dyDescent="0.2">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4.25" x14ac:dyDescent="0.2">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4.25" x14ac:dyDescent="0.2">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4.25" x14ac:dyDescent="0.2">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4.25" x14ac:dyDescent="0.2">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4.25" x14ac:dyDescent="0.2">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4.25" x14ac:dyDescent="0.2">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4.25" x14ac:dyDescent="0.2">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4.25" x14ac:dyDescent="0.2">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4.25" x14ac:dyDescent="0.2">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4.25" x14ac:dyDescent="0.2">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4.25" x14ac:dyDescent="0.2">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4.25" x14ac:dyDescent="0.2">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4.25" x14ac:dyDescent="0.2">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4.25" x14ac:dyDescent="0.2">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4.25" x14ac:dyDescent="0.2">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4.25" x14ac:dyDescent="0.2">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4.25" x14ac:dyDescent="0.2">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4.25" x14ac:dyDescent="0.2">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4.25" x14ac:dyDescent="0.2">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4.25" x14ac:dyDescent="0.2">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4.25" x14ac:dyDescent="0.2">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4.25" x14ac:dyDescent="0.2">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4.25" x14ac:dyDescent="0.2">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4.25" x14ac:dyDescent="0.2">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4.25" x14ac:dyDescent="0.2">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4.25" x14ac:dyDescent="0.2">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4.25" x14ac:dyDescent="0.2">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4.25" x14ac:dyDescent="0.2">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4.25" x14ac:dyDescent="0.2">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4.25" x14ac:dyDescent="0.2">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4.25" x14ac:dyDescent="0.2">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4.25" x14ac:dyDescent="0.2">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4.25" x14ac:dyDescent="0.2">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4.25" x14ac:dyDescent="0.2">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4.25" x14ac:dyDescent="0.2">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4.25" x14ac:dyDescent="0.2">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4.25" x14ac:dyDescent="0.2">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4.25" x14ac:dyDescent="0.2">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4.25" x14ac:dyDescent="0.2">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4.25" x14ac:dyDescent="0.2">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4.25" x14ac:dyDescent="0.2">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4.25" x14ac:dyDescent="0.2">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4.25" x14ac:dyDescent="0.2">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4.25" x14ac:dyDescent="0.2">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4.25" x14ac:dyDescent="0.2">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4.25" x14ac:dyDescent="0.2">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4.25" x14ac:dyDescent="0.2">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4.25" x14ac:dyDescent="0.2">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4.25" x14ac:dyDescent="0.2">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4.25" x14ac:dyDescent="0.2">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4.25" x14ac:dyDescent="0.2">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4.25" x14ac:dyDescent="0.2">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4.25" x14ac:dyDescent="0.2">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4.25" x14ac:dyDescent="0.2">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4.25" x14ac:dyDescent="0.2">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4.25" x14ac:dyDescent="0.2">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4.25" x14ac:dyDescent="0.2">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5" thickBot="1" x14ac:dyDescent="0.25">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5" thickBot="1" x14ac:dyDescent="0.2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 customHeight="1" x14ac:dyDescent="0.2"/>
    <row r="262" spans="2:34" ht="27" customHeight="1" x14ac:dyDescent="0.2"/>
    <row r="263" spans="2:34" ht="14.25" hidden="1" x14ac:dyDescent="0.2"/>
    <row r="264" spans="2:34" ht="14.25" hidden="1" x14ac:dyDescent="0.2"/>
    <row r="265" spans="2:34" ht="14.25" hidden="1" x14ac:dyDescent="0.2"/>
    <row r="266" spans="2:34" ht="14.25" hidden="1" x14ac:dyDescent="0.2"/>
    <row r="267" spans="2:34" ht="14.25" hidden="1" x14ac:dyDescent="0.2"/>
    <row r="268" spans="2:34" ht="14.25" hidden="1" x14ac:dyDescent="0.2"/>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41.28515625" style="31" customWidth="1"/>
    <col min="4" max="4" width="9" style="31" customWidth="1"/>
    <col min="5" max="5" width="18.85546875" style="31" customWidth="1"/>
    <col min="6" max="6" width="18.28515625" style="31" customWidth="1"/>
    <col min="7" max="7" width="18.140625" style="31" customWidth="1"/>
    <col min="8" max="8" width="19.28515625" style="31" customWidth="1"/>
    <col min="9" max="9" width="25.85546875" style="31" customWidth="1"/>
    <col min="10" max="13" width="19.28515625" style="31" customWidth="1"/>
    <col min="14" max="14" width="45.7109375" style="31" customWidth="1"/>
    <col min="15" max="16" width="34.28515625" style="31" customWidth="1"/>
    <col min="17" max="17" width="10" style="31" customWidth="1"/>
    <col min="18" max="18" width="19.425781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1" style="31" customWidth="1"/>
    <col min="27" max="27" width="24.42578125" style="31" customWidth="1"/>
    <col min="28" max="28" width="34.42578125" style="31" customWidth="1"/>
    <col min="29" max="29" width="18.42578125" style="31" customWidth="1"/>
    <col min="30" max="30" width="15.28515625" style="31" customWidth="1"/>
    <col min="31" max="31" width="16.5703125" style="31" customWidth="1"/>
    <col min="32" max="32" width="28.28515625" style="31" customWidth="1"/>
    <col min="33" max="33" width="16.28515625" style="31" customWidth="1"/>
    <col min="34" max="34" width="15.28515625" style="31" customWidth="1"/>
    <col min="35" max="35" width="17.5703125" style="31" customWidth="1"/>
    <col min="36" max="36" width="15.28515625" style="31" customWidth="1"/>
    <col min="37" max="37" width="19.5703125" style="31" customWidth="1"/>
    <col min="38"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x14ac:dyDescent="0.25"/>
    <row r="2" spans="2:48" ht="27" customHeight="1" thickBot="1" x14ac:dyDescent="0.25">
      <c r="B2" s="986" t="str">
        <f>IF([2]Start!F12="","",[2]Start!F12)</f>
        <v/>
      </c>
      <c r="C2" s="987"/>
      <c r="D2" s="987"/>
      <c r="E2" s="988"/>
      <c r="R2" s="132"/>
      <c r="Y2" s="908" t="str">
        <f>IF(OR(COUNTIF($Y$12:Y259,"*30+*")&gt;0,COUNTIF($AC$12:AC259,"*30+*")&gt;0),"Note; Habitat selected has a time to target condition greater than 30 years. Non standard agreement may be required. ⚠","")</f>
        <v/>
      </c>
      <c r="Z2" s="908"/>
      <c r="AA2" s="908"/>
      <c r="AB2" s="908"/>
      <c r="AC2" s="908"/>
      <c r="AD2" s="908"/>
    </row>
    <row r="3" spans="2:48" ht="18" customHeight="1" thickBot="1" x14ac:dyDescent="0.25">
      <c r="B3" s="1019" t="str">
        <f ca="1">MID(CELL("filename",A1),FIND("]",CELL("filename",A1))+1,256)</f>
        <v>C-3 Site River Enhancement</v>
      </c>
      <c r="C3" s="1020"/>
      <c r="D3" s="1020"/>
      <c r="E3" s="1021"/>
      <c r="Y3" s="908"/>
      <c r="Z3" s="908"/>
      <c r="AA3" s="908"/>
      <c r="AB3" s="908"/>
      <c r="AC3" s="908"/>
      <c r="AD3" s="908"/>
    </row>
    <row r="4" spans="2:48" ht="21" customHeight="1" thickBot="1" x14ac:dyDescent="0.25">
      <c r="B4" s="1019"/>
      <c r="C4" s="1020"/>
      <c r="D4" s="1020"/>
      <c r="E4" s="1021"/>
      <c r="Y4" s="908"/>
      <c r="Z4" s="908"/>
      <c r="AA4" s="908"/>
      <c r="AB4" s="908"/>
      <c r="AC4" s="908"/>
      <c r="AD4" s="908"/>
    </row>
    <row r="5" spans="2:48" ht="15.6" customHeight="1" x14ac:dyDescent="0.25">
      <c r="AH5" s="193"/>
      <c r="AI5" s="193"/>
      <c r="AJ5" s="193"/>
      <c r="AK5" s="193"/>
      <c r="AL5" s="193"/>
    </row>
    <row r="6" spans="2:48" ht="16.149999999999999" customHeight="1" x14ac:dyDescent="0.2">
      <c r="F6" s="131"/>
    </row>
    <row r="7" spans="2:48" ht="14.25" x14ac:dyDescent="0.2"/>
    <row r="8" spans="2:48" ht="15" thickBot="1" x14ac:dyDescent="0.25"/>
    <row r="9" spans="2:48" ht="15" thickBot="1" x14ac:dyDescent="0.25">
      <c r="C9" s="131"/>
      <c r="D9" s="131"/>
      <c r="E9" s="131"/>
      <c r="F9" s="131"/>
      <c r="G9" s="131"/>
      <c r="H9" s="131"/>
      <c r="I9" s="131"/>
      <c r="J9" s="131"/>
      <c r="K9" s="131"/>
      <c r="L9" s="131"/>
      <c r="M9" s="131"/>
      <c r="N9" s="950" t="s">
        <v>249</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9"/>
    </row>
    <row r="10" spans="2:48" s="42" customFormat="1" ht="27" customHeight="1" thickBot="1" x14ac:dyDescent="0.25">
      <c r="C10" s="938" t="s">
        <v>271</v>
      </c>
      <c r="D10" s="938"/>
      <c r="E10" s="938"/>
      <c r="F10" s="938"/>
      <c r="G10" s="938"/>
      <c r="H10" s="938"/>
      <c r="I10" s="938"/>
      <c r="J10" s="938"/>
      <c r="K10" s="938"/>
      <c r="L10" s="938"/>
      <c r="M10" s="938"/>
      <c r="N10" s="966" t="s">
        <v>357</v>
      </c>
      <c r="O10" s="992" t="s">
        <v>273</v>
      </c>
      <c r="P10" s="992"/>
      <c r="Q10" s="939" t="s">
        <v>319</v>
      </c>
      <c r="R10" s="939" t="s">
        <v>297</v>
      </c>
      <c r="S10" s="939"/>
      <c r="T10" s="939" t="s">
        <v>298</v>
      </c>
      <c r="U10" s="939"/>
      <c r="V10" s="966" t="s">
        <v>197</v>
      </c>
      <c r="W10" s="967"/>
      <c r="X10" s="968"/>
      <c r="Y10" s="966" t="s">
        <v>252</v>
      </c>
      <c r="Z10" s="967"/>
      <c r="AA10" s="967"/>
      <c r="AB10" s="967"/>
      <c r="AC10" s="967"/>
      <c r="AD10" s="968"/>
      <c r="AE10" s="966" t="s">
        <v>253</v>
      </c>
      <c r="AF10" s="967"/>
      <c r="AG10" s="967"/>
      <c r="AH10" s="968"/>
      <c r="AI10" s="939" t="s">
        <v>345</v>
      </c>
      <c r="AJ10" s="939"/>
      <c r="AK10" s="966" t="s">
        <v>346</v>
      </c>
      <c r="AL10" s="968"/>
      <c r="AM10" s="939" t="s">
        <v>355</v>
      </c>
      <c r="AN10" s="879" t="s">
        <v>202</v>
      </c>
      <c r="AO10" s="877"/>
    </row>
    <row r="11" spans="2:48" ht="62.25" customHeight="1" x14ac:dyDescent="0.2">
      <c r="B11" s="135" t="s">
        <v>278</v>
      </c>
      <c r="C11" s="200" t="s">
        <v>279</v>
      </c>
      <c r="D11" s="200" t="s">
        <v>319</v>
      </c>
      <c r="E11" s="200" t="s">
        <v>281</v>
      </c>
      <c r="F11" s="200" t="s">
        <v>282</v>
      </c>
      <c r="G11" s="200" t="s">
        <v>283</v>
      </c>
      <c r="H11" s="200" t="s">
        <v>284</v>
      </c>
      <c r="I11" s="200" t="s">
        <v>285</v>
      </c>
      <c r="J11" s="200" t="s">
        <v>197</v>
      </c>
      <c r="K11" s="200" t="s">
        <v>358</v>
      </c>
      <c r="L11" s="200" t="s">
        <v>334</v>
      </c>
      <c r="M11" s="201" t="s">
        <v>359</v>
      </c>
      <c r="N11" s="1022"/>
      <c r="O11" s="141" t="s">
        <v>335</v>
      </c>
      <c r="P11" s="358" t="s">
        <v>336</v>
      </c>
      <c r="Q11" s="984"/>
      <c r="R11" s="141" t="s">
        <v>195</v>
      </c>
      <c r="S11" s="358" t="s">
        <v>212</v>
      </c>
      <c r="T11" s="141" t="s">
        <v>196</v>
      </c>
      <c r="U11" s="358" t="s">
        <v>212</v>
      </c>
      <c r="V11" s="141" t="s">
        <v>197</v>
      </c>
      <c r="W11" s="103" t="s">
        <v>197</v>
      </c>
      <c r="X11" s="358" t="s">
        <v>255</v>
      </c>
      <c r="Y11" s="141" t="s">
        <v>329</v>
      </c>
      <c r="Z11" s="103" t="s">
        <v>292</v>
      </c>
      <c r="AA11" s="103" t="s">
        <v>293</v>
      </c>
      <c r="AB11" s="103" t="s">
        <v>259</v>
      </c>
      <c r="AC11" s="103" t="s">
        <v>260</v>
      </c>
      <c r="AD11" s="358" t="s">
        <v>337</v>
      </c>
      <c r="AE11" s="141" t="s">
        <v>338</v>
      </c>
      <c r="AF11" s="103" t="s">
        <v>330</v>
      </c>
      <c r="AG11" s="103" t="s">
        <v>295</v>
      </c>
      <c r="AH11" s="358" t="s">
        <v>265</v>
      </c>
      <c r="AI11" s="141" t="s">
        <v>348</v>
      </c>
      <c r="AJ11" s="358" t="s">
        <v>349</v>
      </c>
      <c r="AK11" s="141" t="s">
        <v>348</v>
      </c>
      <c r="AL11" s="358" t="s">
        <v>349</v>
      </c>
      <c r="AM11" s="984"/>
      <c r="AN11" s="141" t="s">
        <v>221</v>
      </c>
      <c r="AO11" s="358" t="s">
        <v>222</v>
      </c>
      <c r="AV11" s="260" t="s">
        <v>206</v>
      </c>
    </row>
    <row r="12" spans="2:48" ht="14.25" x14ac:dyDescent="0.2">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4.25" x14ac:dyDescent="0.2">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4.25" x14ac:dyDescent="0.2">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4.25" x14ac:dyDescent="0.2">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4.25" x14ac:dyDescent="0.2">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4.25" x14ac:dyDescent="0.2">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4.25" x14ac:dyDescent="0.2">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4.25" x14ac:dyDescent="0.2">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4.25" x14ac:dyDescent="0.2">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4.25" x14ac:dyDescent="0.2">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4.25" x14ac:dyDescent="0.2">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4.25" x14ac:dyDescent="0.2">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4.25" x14ac:dyDescent="0.2">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4.25" x14ac:dyDescent="0.2">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4.25" x14ac:dyDescent="0.2">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4.25" x14ac:dyDescent="0.2">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4.25" x14ac:dyDescent="0.2">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4.25" x14ac:dyDescent="0.2">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4.25" x14ac:dyDescent="0.2">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4.25" x14ac:dyDescent="0.2">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4.25" x14ac:dyDescent="0.2">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4.25" x14ac:dyDescent="0.2">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4.25" x14ac:dyDescent="0.2">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4.25" x14ac:dyDescent="0.2">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4.25" x14ac:dyDescent="0.2">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4.25" x14ac:dyDescent="0.2">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4.25" x14ac:dyDescent="0.2">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4.25" x14ac:dyDescent="0.2">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4.25" x14ac:dyDescent="0.2">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4.25" x14ac:dyDescent="0.2">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4.25" x14ac:dyDescent="0.2">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4.25" x14ac:dyDescent="0.2">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4.25" x14ac:dyDescent="0.2">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4.25" x14ac:dyDescent="0.2">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4.25" x14ac:dyDescent="0.2">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4.25" x14ac:dyDescent="0.2">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4.25" x14ac:dyDescent="0.2">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4.25" x14ac:dyDescent="0.2">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4.25" x14ac:dyDescent="0.2">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4.25" x14ac:dyDescent="0.2">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4.25" x14ac:dyDescent="0.2">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4.25" x14ac:dyDescent="0.2">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4.25" x14ac:dyDescent="0.2">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4.25" x14ac:dyDescent="0.2">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4.25" x14ac:dyDescent="0.2">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4.25" x14ac:dyDescent="0.2">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4.25" x14ac:dyDescent="0.2">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4.25" x14ac:dyDescent="0.2">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4.25" x14ac:dyDescent="0.2">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4.25" x14ac:dyDescent="0.2">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4.25" x14ac:dyDescent="0.2">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4.25" x14ac:dyDescent="0.2">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4.25" x14ac:dyDescent="0.2">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4.25" x14ac:dyDescent="0.2">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4.25" x14ac:dyDescent="0.2">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4.25" x14ac:dyDescent="0.2">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4.25" x14ac:dyDescent="0.2">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4.25" x14ac:dyDescent="0.2">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4.25" x14ac:dyDescent="0.2">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4.25" x14ac:dyDescent="0.2">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4.25" x14ac:dyDescent="0.2">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4.25" x14ac:dyDescent="0.2">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4.25" x14ac:dyDescent="0.2">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4.25" x14ac:dyDescent="0.2">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4.25" x14ac:dyDescent="0.2">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4.25" x14ac:dyDescent="0.2">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4.25" x14ac:dyDescent="0.2">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25" x14ac:dyDescent="0.2">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4.25" x14ac:dyDescent="0.2">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4.25" x14ac:dyDescent="0.2">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4.25" x14ac:dyDescent="0.2">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4.25" x14ac:dyDescent="0.2">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4.25" x14ac:dyDescent="0.2">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4.25" x14ac:dyDescent="0.2">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4.25" x14ac:dyDescent="0.2">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4.25" x14ac:dyDescent="0.2">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4.25" x14ac:dyDescent="0.2">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4.25" x14ac:dyDescent="0.2">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4.25" x14ac:dyDescent="0.2">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4.25" x14ac:dyDescent="0.2">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4.25" x14ac:dyDescent="0.2">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4.25" x14ac:dyDescent="0.2">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4.25" x14ac:dyDescent="0.2">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4.25" x14ac:dyDescent="0.2">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4.25" x14ac:dyDescent="0.2">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4.25" x14ac:dyDescent="0.2">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4.25" x14ac:dyDescent="0.2">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4.25" x14ac:dyDescent="0.2">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4.25" x14ac:dyDescent="0.2">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4.25" x14ac:dyDescent="0.2">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4.25" x14ac:dyDescent="0.2">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4.25" x14ac:dyDescent="0.2">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4.25" x14ac:dyDescent="0.2">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4.25" x14ac:dyDescent="0.2">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4.25" x14ac:dyDescent="0.2">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4.25" x14ac:dyDescent="0.2">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4.25" x14ac:dyDescent="0.2">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4.25" x14ac:dyDescent="0.2">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4.25" x14ac:dyDescent="0.2">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4.25" x14ac:dyDescent="0.2">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4.25" x14ac:dyDescent="0.2">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4.25" x14ac:dyDescent="0.2">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4.25" x14ac:dyDescent="0.2">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4.25" x14ac:dyDescent="0.2">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4.25" x14ac:dyDescent="0.2">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4.25" x14ac:dyDescent="0.2">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4.25" x14ac:dyDescent="0.2">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4.25" x14ac:dyDescent="0.2">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4.25" x14ac:dyDescent="0.2">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4.25" x14ac:dyDescent="0.2">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4.25" x14ac:dyDescent="0.2">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4.25" x14ac:dyDescent="0.2">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4.25" x14ac:dyDescent="0.2">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4.25" x14ac:dyDescent="0.2">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4.25" x14ac:dyDescent="0.2">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4.25" x14ac:dyDescent="0.2">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4.25" x14ac:dyDescent="0.2">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4.25" x14ac:dyDescent="0.2">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4.25" x14ac:dyDescent="0.2">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4.25" x14ac:dyDescent="0.2">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4.25" x14ac:dyDescent="0.2">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4.25" x14ac:dyDescent="0.2">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4.25" x14ac:dyDescent="0.2">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4.25" x14ac:dyDescent="0.2">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4.25" x14ac:dyDescent="0.2">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4.25" x14ac:dyDescent="0.2">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4.25" x14ac:dyDescent="0.2">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4.25" x14ac:dyDescent="0.2">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4.25" x14ac:dyDescent="0.2">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4.25" x14ac:dyDescent="0.2">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4.25" x14ac:dyDescent="0.2">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25" x14ac:dyDescent="0.2">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4.25" x14ac:dyDescent="0.2">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4.25" x14ac:dyDescent="0.2">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4.25" x14ac:dyDescent="0.2">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4.25" x14ac:dyDescent="0.2">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4.25" x14ac:dyDescent="0.2">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4.25" x14ac:dyDescent="0.2">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4.25" x14ac:dyDescent="0.2">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4.25" x14ac:dyDescent="0.2">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4.25" x14ac:dyDescent="0.2">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4.25" x14ac:dyDescent="0.2">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4.25" x14ac:dyDescent="0.2">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4.25" x14ac:dyDescent="0.2">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4.25" x14ac:dyDescent="0.2">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4.25" x14ac:dyDescent="0.2">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4.25" x14ac:dyDescent="0.2">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4.25" x14ac:dyDescent="0.2">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4.25" x14ac:dyDescent="0.2">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4.25" x14ac:dyDescent="0.2">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4.25" x14ac:dyDescent="0.2">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4.25" x14ac:dyDescent="0.2">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4.25" x14ac:dyDescent="0.2">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4.25" x14ac:dyDescent="0.2">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4.25" x14ac:dyDescent="0.2">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4.25" x14ac:dyDescent="0.2">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4.25" x14ac:dyDescent="0.2">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4.25" x14ac:dyDescent="0.2">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4.25" x14ac:dyDescent="0.2">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4.25" x14ac:dyDescent="0.2">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4.25" x14ac:dyDescent="0.2">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4.25" x14ac:dyDescent="0.2">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4.25" x14ac:dyDescent="0.2">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4.25" x14ac:dyDescent="0.2">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4.25" x14ac:dyDescent="0.2">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4.25" x14ac:dyDescent="0.2">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4.25" x14ac:dyDescent="0.2">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4.25" x14ac:dyDescent="0.2">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4.25" x14ac:dyDescent="0.2">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4.25" x14ac:dyDescent="0.2">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4.25" x14ac:dyDescent="0.2">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4.25" x14ac:dyDescent="0.2">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4.25" x14ac:dyDescent="0.2">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4.25" x14ac:dyDescent="0.2">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4.25" x14ac:dyDescent="0.2">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4.25" x14ac:dyDescent="0.2">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4.25" x14ac:dyDescent="0.2">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4.25" x14ac:dyDescent="0.2">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4.25" x14ac:dyDescent="0.2">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4.25" x14ac:dyDescent="0.2">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4.25" x14ac:dyDescent="0.2">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4.25" x14ac:dyDescent="0.2">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4.25" x14ac:dyDescent="0.2">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4.25" x14ac:dyDescent="0.2">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4.25" x14ac:dyDescent="0.2">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4.25" x14ac:dyDescent="0.2">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4.25" x14ac:dyDescent="0.2">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4.25" x14ac:dyDescent="0.2">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4.25" x14ac:dyDescent="0.2">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4.25" x14ac:dyDescent="0.2">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4.25" x14ac:dyDescent="0.2">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4.25" x14ac:dyDescent="0.2">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4.25" x14ac:dyDescent="0.2">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4.25" x14ac:dyDescent="0.2">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4.25" x14ac:dyDescent="0.2">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25" x14ac:dyDescent="0.2">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4.25" x14ac:dyDescent="0.2">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4.25" x14ac:dyDescent="0.2">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4.25" x14ac:dyDescent="0.2">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4.25" x14ac:dyDescent="0.2">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4.25" x14ac:dyDescent="0.2">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4.25" x14ac:dyDescent="0.2">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4.25" x14ac:dyDescent="0.2">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4.25" x14ac:dyDescent="0.2">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4.25" x14ac:dyDescent="0.2">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4.25" x14ac:dyDescent="0.2">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4.25" x14ac:dyDescent="0.2">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4.25" x14ac:dyDescent="0.2">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4.25" x14ac:dyDescent="0.2">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4.25" x14ac:dyDescent="0.2">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4.25" x14ac:dyDescent="0.2">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4.25" x14ac:dyDescent="0.2">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4.25" x14ac:dyDescent="0.2">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4.25" x14ac:dyDescent="0.2">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4.25" x14ac:dyDescent="0.2">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4.25" x14ac:dyDescent="0.2">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4.25" x14ac:dyDescent="0.2">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4.25" x14ac:dyDescent="0.2">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4.25" x14ac:dyDescent="0.2">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4.25" x14ac:dyDescent="0.2">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4.25" x14ac:dyDescent="0.2">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4.25" x14ac:dyDescent="0.2">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4.25" x14ac:dyDescent="0.2">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4.25" x14ac:dyDescent="0.2">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4.25" x14ac:dyDescent="0.2">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4.25" x14ac:dyDescent="0.2">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4.25" x14ac:dyDescent="0.2">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4.25" x14ac:dyDescent="0.2">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4.25" x14ac:dyDescent="0.2">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4.25" x14ac:dyDescent="0.2">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4.25" x14ac:dyDescent="0.2">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4.25" x14ac:dyDescent="0.2">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4.25" x14ac:dyDescent="0.2">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4.25" x14ac:dyDescent="0.2">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4.25" x14ac:dyDescent="0.2">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4.25" x14ac:dyDescent="0.2">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4.25" x14ac:dyDescent="0.2">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4.25" x14ac:dyDescent="0.2">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4.25" x14ac:dyDescent="0.2">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4.25" x14ac:dyDescent="0.2">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4.25" x14ac:dyDescent="0.2">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4.25" x14ac:dyDescent="0.2">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4.25" x14ac:dyDescent="0.2">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4.25" x14ac:dyDescent="0.2">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4.25" x14ac:dyDescent="0.2">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5" thickBot="1" x14ac:dyDescent="0.25">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 thickBot="1" x14ac:dyDescent="0.25">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4.25" x14ac:dyDescent="0.2">
      <c r="AJ259" s="31" t="str">
        <f>IF(AI259="","",IF(VLOOKUP(AI259,'[2]G-7 Rivers Data'!$AA$4:$AB$6,2,FALSE)=0,"Spatial Data Missing",VLOOKUP(AI259,'[2]G-7 Rivers Data'!$AA$4:$AB$6,2,FALSE)))</f>
        <v/>
      </c>
    </row>
    <row r="260" spans="2:48" ht="14.25" x14ac:dyDescent="0.2"/>
    <row r="261" spans="2:48" ht="14.25" x14ac:dyDescent="0.2"/>
    <row r="262" spans="2:48" ht="14.25" x14ac:dyDescent="0.2"/>
    <row r="263" spans="2:48" ht="14.25" x14ac:dyDescent="0.2"/>
    <row r="264" spans="2:48" ht="14.25" x14ac:dyDescent="0.2"/>
    <row r="265" spans="2:48" ht="14.25" x14ac:dyDescent="0.2"/>
    <row r="266" spans="2:48" ht="14.25" x14ac:dyDescent="0.2"/>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x14ac:dyDescent="0.25">
      <c r="B1" s="31"/>
      <c r="C1" s="31"/>
    </row>
    <row r="2" spans="2:40" ht="19.5" customHeight="1" thickBot="1" x14ac:dyDescent="0.25">
      <c r="B2" s="743" t="str">
        <f>IF([2]Start!$F$12="","",[2]Start!$F$12)</f>
        <v/>
      </c>
      <c r="C2" s="744"/>
      <c r="D2" s="744"/>
      <c r="E2" s="745"/>
    </row>
    <row r="3" spans="2:40" ht="15" customHeight="1" thickBot="1" x14ac:dyDescent="0.25">
      <c r="B3" s="971" t="str">
        <f ca="1">MID(CELL("filename",A1),FIND("]",CELL("filename",A1))+1,256)</f>
        <v>F-1 Off Site River Baseline</v>
      </c>
      <c r="C3" s="972"/>
      <c r="D3" s="972"/>
      <c r="E3" s="973"/>
    </row>
    <row r="4" spans="2:40" ht="15" customHeight="1" thickBot="1" x14ac:dyDescent="0.25">
      <c r="B4" s="971"/>
      <c r="C4" s="972"/>
      <c r="D4" s="972"/>
      <c r="E4" s="973"/>
      <c r="S4" s="445"/>
      <c r="T4" s="1018" t="str">
        <f>IF(SUM(AG10:AG257)&gt;0,"Check Lengths ⚠","")</f>
        <v/>
      </c>
      <c r="U4" s="1018"/>
      <c r="V4" s="1018"/>
      <c r="W4" s="1018"/>
      <c r="X4" s="1018"/>
      <c r="Y4" s="1018"/>
    </row>
    <row r="5" spans="2:40" ht="27" customHeight="1" x14ac:dyDescent="0.2">
      <c r="B5" s="31"/>
      <c r="C5" s="31"/>
      <c r="S5" s="445"/>
      <c r="T5" s="1018"/>
      <c r="U5" s="1018"/>
      <c r="V5" s="1018"/>
      <c r="W5" s="1018"/>
      <c r="X5" s="1018"/>
      <c r="Y5" s="1018"/>
    </row>
    <row r="6" spans="2:40" ht="40.15" customHeight="1" x14ac:dyDescent="0.2">
      <c r="B6" s="31"/>
      <c r="C6" s="31"/>
      <c r="D6" s="131"/>
    </row>
    <row r="7" spans="2:40" ht="15" thickBot="1" x14ac:dyDescent="0.25"/>
    <row r="8" spans="2:40" ht="30.75" customHeight="1" thickBot="1" x14ac:dyDescent="0.25">
      <c r="C8" s="949" t="s">
        <v>344</v>
      </c>
      <c r="D8" s="949"/>
      <c r="E8" s="949"/>
      <c r="F8" s="939" t="s">
        <v>297</v>
      </c>
      <c r="G8" s="939"/>
      <c r="H8" s="939" t="s">
        <v>298</v>
      </c>
      <c r="I8" s="939"/>
      <c r="J8" s="949" t="s">
        <v>197</v>
      </c>
      <c r="K8" s="949"/>
      <c r="L8" s="949"/>
      <c r="M8" s="939" t="s">
        <v>345</v>
      </c>
      <c r="N8" s="939"/>
      <c r="O8" s="939" t="s">
        <v>346</v>
      </c>
      <c r="P8" s="939"/>
      <c r="Q8" s="938" t="s">
        <v>334</v>
      </c>
      <c r="R8" s="167" t="s">
        <v>199</v>
      </c>
      <c r="S8" s="134"/>
      <c r="T8" s="949" t="s">
        <v>200</v>
      </c>
      <c r="U8" s="949"/>
      <c r="V8" s="949"/>
      <c r="W8" s="949"/>
      <c r="X8" s="949"/>
      <c r="Y8" s="949"/>
      <c r="Z8" s="949" t="s">
        <v>202</v>
      </c>
      <c r="AA8" s="949"/>
    </row>
    <row r="9" spans="2:40" ht="42.75" x14ac:dyDescent="0.2">
      <c r="C9" s="367" t="s">
        <v>278</v>
      </c>
      <c r="D9" s="200" t="s">
        <v>144</v>
      </c>
      <c r="E9" s="201" t="s">
        <v>360</v>
      </c>
      <c r="F9" s="367" t="s">
        <v>195</v>
      </c>
      <c r="G9" s="201" t="s">
        <v>212</v>
      </c>
      <c r="H9" s="367" t="s">
        <v>196</v>
      </c>
      <c r="I9" s="201" t="s">
        <v>212</v>
      </c>
      <c r="J9" s="367" t="s">
        <v>197</v>
      </c>
      <c r="K9" s="200" t="s">
        <v>197</v>
      </c>
      <c r="L9" s="201" t="s">
        <v>255</v>
      </c>
      <c r="M9" s="367" t="s">
        <v>348</v>
      </c>
      <c r="N9" s="201" t="s">
        <v>349</v>
      </c>
      <c r="O9" s="367" t="s">
        <v>348</v>
      </c>
      <c r="P9" s="201" t="s">
        <v>349</v>
      </c>
      <c r="Q9" s="939"/>
      <c r="R9" s="420" t="s">
        <v>350</v>
      </c>
      <c r="S9" s="138"/>
      <c r="T9" s="367" t="s">
        <v>321</v>
      </c>
      <c r="U9" s="200" t="s">
        <v>322</v>
      </c>
      <c r="V9" s="200" t="s">
        <v>323</v>
      </c>
      <c r="W9" s="200" t="s">
        <v>324</v>
      </c>
      <c r="X9" s="200" t="s">
        <v>325</v>
      </c>
      <c r="Y9" s="201" t="s">
        <v>220</v>
      </c>
      <c r="Z9" s="367" t="s">
        <v>221</v>
      </c>
      <c r="AA9" s="201" t="s">
        <v>222</v>
      </c>
      <c r="AF9" s="131" t="s">
        <v>206</v>
      </c>
      <c r="AG9" s="42" t="s">
        <v>361</v>
      </c>
      <c r="AH9" s="139" t="s">
        <v>225</v>
      </c>
      <c r="AI9" s="139" t="s">
        <v>226</v>
      </c>
      <c r="AJ9" s="140"/>
      <c r="AK9" s="139" t="s">
        <v>228</v>
      </c>
      <c r="AL9" s="140"/>
      <c r="AM9" s="139" t="s">
        <v>225</v>
      </c>
      <c r="AN9" s="139" t="s">
        <v>226</v>
      </c>
    </row>
    <row r="10" spans="2:40" ht="14.25" x14ac:dyDescent="0.2">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4.25" x14ac:dyDescent="0.2">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25" x14ac:dyDescent="0.2">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25" x14ac:dyDescent="0.2">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25" x14ac:dyDescent="0.2">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25" x14ac:dyDescent="0.2">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25" x14ac:dyDescent="0.2">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25" x14ac:dyDescent="0.2">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25" x14ac:dyDescent="0.2">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25" x14ac:dyDescent="0.2">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25" x14ac:dyDescent="0.2">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25" x14ac:dyDescent="0.2">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25" x14ac:dyDescent="0.2">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25" x14ac:dyDescent="0.2">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25" x14ac:dyDescent="0.2">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25" x14ac:dyDescent="0.2">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25" x14ac:dyDescent="0.2">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25" x14ac:dyDescent="0.2">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25" x14ac:dyDescent="0.2">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25" x14ac:dyDescent="0.2">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25" x14ac:dyDescent="0.2">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25" x14ac:dyDescent="0.2">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25" x14ac:dyDescent="0.2">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25" x14ac:dyDescent="0.2">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25" x14ac:dyDescent="0.2">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25" x14ac:dyDescent="0.2">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25" x14ac:dyDescent="0.2">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25" x14ac:dyDescent="0.2">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25" x14ac:dyDescent="0.2">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25" x14ac:dyDescent="0.2">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25" x14ac:dyDescent="0.2">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25" x14ac:dyDescent="0.2">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25" x14ac:dyDescent="0.2">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25" x14ac:dyDescent="0.2">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25" x14ac:dyDescent="0.2">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25" x14ac:dyDescent="0.2">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25" x14ac:dyDescent="0.2">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25" x14ac:dyDescent="0.2">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25" x14ac:dyDescent="0.2">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25" x14ac:dyDescent="0.2">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25" x14ac:dyDescent="0.2">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25" x14ac:dyDescent="0.2">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25" x14ac:dyDescent="0.2">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25" x14ac:dyDescent="0.2">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25" x14ac:dyDescent="0.2">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25" x14ac:dyDescent="0.2">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25" x14ac:dyDescent="0.2">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25" x14ac:dyDescent="0.2">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25" x14ac:dyDescent="0.2">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25" x14ac:dyDescent="0.2">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25" x14ac:dyDescent="0.2">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25" x14ac:dyDescent="0.2">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25" x14ac:dyDescent="0.2">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25" x14ac:dyDescent="0.2">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25" x14ac:dyDescent="0.2">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25" x14ac:dyDescent="0.2">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25" x14ac:dyDescent="0.2">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25" x14ac:dyDescent="0.2">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25" x14ac:dyDescent="0.2">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25" x14ac:dyDescent="0.2">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25" x14ac:dyDescent="0.2">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25" x14ac:dyDescent="0.2">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25" x14ac:dyDescent="0.2">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25" x14ac:dyDescent="0.2">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25" x14ac:dyDescent="0.2">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25" x14ac:dyDescent="0.2">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25" x14ac:dyDescent="0.2">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25" x14ac:dyDescent="0.2">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25" x14ac:dyDescent="0.2">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25" x14ac:dyDescent="0.2">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25" x14ac:dyDescent="0.2">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25" x14ac:dyDescent="0.2">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25" x14ac:dyDescent="0.2">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25" x14ac:dyDescent="0.2">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25" x14ac:dyDescent="0.2">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25" x14ac:dyDescent="0.2">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25" x14ac:dyDescent="0.2">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25" x14ac:dyDescent="0.2">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25" x14ac:dyDescent="0.2">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25" x14ac:dyDescent="0.2">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25" x14ac:dyDescent="0.2">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25" x14ac:dyDescent="0.2">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25" x14ac:dyDescent="0.2">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25" x14ac:dyDescent="0.2">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25" x14ac:dyDescent="0.2">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25" x14ac:dyDescent="0.2">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25" x14ac:dyDescent="0.2">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25" x14ac:dyDescent="0.2">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25" x14ac:dyDescent="0.2">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25" x14ac:dyDescent="0.2">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25" x14ac:dyDescent="0.2">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25" x14ac:dyDescent="0.2">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25" x14ac:dyDescent="0.2">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25" x14ac:dyDescent="0.2">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25" x14ac:dyDescent="0.2">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25" x14ac:dyDescent="0.2">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25" x14ac:dyDescent="0.2">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25" x14ac:dyDescent="0.2">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25" x14ac:dyDescent="0.2">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25" x14ac:dyDescent="0.2">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25" x14ac:dyDescent="0.2">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25" x14ac:dyDescent="0.2">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25" x14ac:dyDescent="0.2">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25" x14ac:dyDescent="0.2">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25" x14ac:dyDescent="0.2">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25" x14ac:dyDescent="0.2">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25" x14ac:dyDescent="0.2">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25" x14ac:dyDescent="0.2">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25" x14ac:dyDescent="0.2">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25" x14ac:dyDescent="0.2">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25" x14ac:dyDescent="0.2">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25" x14ac:dyDescent="0.2">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25" x14ac:dyDescent="0.2">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25" x14ac:dyDescent="0.2">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25" x14ac:dyDescent="0.2">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25" x14ac:dyDescent="0.2">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25" x14ac:dyDescent="0.2">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25" x14ac:dyDescent="0.2">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25" x14ac:dyDescent="0.2">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25" x14ac:dyDescent="0.2">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25" x14ac:dyDescent="0.2">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25" x14ac:dyDescent="0.2">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25" x14ac:dyDescent="0.2">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25" x14ac:dyDescent="0.2">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25" x14ac:dyDescent="0.2">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25" x14ac:dyDescent="0.2">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25" x14ac:dyDescent="0.2">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25" x14ac:dyDescent="0.2">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25" x14ac:dyDescent="0.2">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25" x14ac:dyDescent="0.2">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25" x14ac:dyDescent="0.2">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25" x14ac:dyDescent="0.2">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25" x14ac:dyDescent="0.2">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25" x14ac:dyDescent="0.2">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25" x14ac:dyDescent="0.2">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25" x14ac:dyDescent="0.2">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25" x14ac:dyDescent="0.2">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25" x14ac:dyDescent="0.2">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25" x14ac:dyDescent="0.2">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25" x14ac:dyDescent="0.2">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25" x14ac:dyDescent="0.2">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25" x14ac:dyDescent="0.2">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25" x14ac:dyDescent="0.2">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25" x14ac:dyDescent="0.2">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25" x14ac:dyDescent="0.2">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25" x14ac:dyDescent="0.2">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25" x14ac:dyDescent="0.2">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25" x14ac:dyDescent="0.2">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25" x14ac:dyDescent="0.2">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25" x14ac:dyDescent="0.2">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25" x14ac:dyDescent="0.2">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25" x14ac:dyDescent="0.2">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25" x14ac:dyDescent="0.2">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25" x14ac:dyDescent="0.2">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25" x14ac:dyDescent="0.2">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25" x14ac:dyDescent="0.2">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25" x14ac:dyDescent="0.2">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25" x14ac:dyDescent="0.2">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25" x14ac:dyDescent="0.2">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25" x14ac:dyDescent="0.2">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25" x14ac:dyDescent="0.2">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25" x14ac:dyDescent="0.2">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25" x14ac:dyDescent="0.2">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25" x14ac:dyDescent="0.2">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25" x14ac:dyDescent="0.2">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25" x14ac:dyDescent="0.2">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25" x14ac:dyDescent="0.2">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25" x14ac:dyDescent="0.2">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25" x14ac:dyDescent="0.2">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25" x14ac:dyDescent="0.2">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25" x14ac:dyDescent="0.2">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25" x14ac:dyDescent="0.2">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25" x14ac:dyDescent="0.2">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25" x14ac:dyDescent="0.2">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25" x14ac:dyDescent="0.2">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25" x14ac:dyDescent="0.2">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25" x14ac:dyDescent="0.2">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25" x14ac:dyDescent="0.2">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25" x14ac:dyDescent="0.2">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25" x14ac:dyDescent="0.2">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25" x14ac:dyDescent="0.2">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25" x14ac:dyDescent="0.2">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25" x14ac:dyDescent="0.2">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25" x14ac:dyDescent="0.2">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25" x14ac:dyDescent="0.2">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25" x14ac:dyDescent="0.2">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25" x14ac:dyDescent="0.2">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25" x14ac:dyDescent="0.2">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25" x14ac:dyDescent="0.2">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25" x14ac:dyDescent="0.2">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25" x14ac:dyDescent="0.2">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25" x14ac:dyDescent="0.2">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25" x14ac:dyDescent="0.2">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25" x14ac:dyDescent="0.2">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25" x14ac:dyDescent="0.2">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25" x14ac:dyDescent="0.2">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25" x14ac:dyDescent="0.2">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25" x14ac:dyDescent="0.2">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25" x14ac:dyDescent="0.2">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25" x14ac:dyDescent="0.2">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25" x14ac:dyDescent="0.2">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25" x14ac:dyDescent="0.2">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25" x14ac:dyDescent="0.2">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25" x14ac:dyDescent="0.2">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25" x14ac:dyDescent="0.2">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25" x14ac:dyDescent="0.2">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25" x14ac:dyDescent="0.2">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25" x14ac:dyDescent="0.2">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25" x14ac:dyDescent="0.2">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25" x14ac:dyDescent="0.2">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25" x14ac:dyDescent="0.2">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25" x14ac:dyDescent="0.2">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25" x14ac:dyDescent="0.2">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25" x14ac:dyDescent="0.2">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25" x14ac:dyDescent="0.2">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25" x14ac:dyDescent="0.2">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25" x14ac:dyDescent="0.2">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25" x14ac:dyDescent="0.2">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25" x14ac:dyDescent="0.2">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25" x14ac:dyDescent="0.2">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25" x14ac:dyDescent="0.2">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25" x14ac:dyDescent="0.2">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25" x14ac:dyDescent="0.2">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25" x14ac:dyDescent="0.2">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25" x14ac:dyDescent="0.2">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25" x14ac:dyDescent="0.2">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25" x14ac:dyDescent="0.2">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25" x14ac:dyDescent="0.2">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25" x14ac:dyDescent="0.2">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25" x14ac:dyDescent="0.2">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25" x14ac:dyDescent="0.2">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25" x14ac:dyDescent="0.2">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25" x14ac:dyDescent="0.2">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25" x14ac:dyDescent="0.2">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25" x14ac:dyDescent="0.2">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25" x14ac:dyDescent="0.2">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25" x14ac:dyDescent="0.2">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25" x14ac:dyDescent="0.2">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25" x14ac:dyDescent="0.2">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25" x14ac:dyDescent="0.2">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25" x14ac:dyDescent="0.2">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25" x14ac:dyDescent="0.2">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25" x14ac:dyDescent="0.2">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25" x14ac:dyDescent="0.2">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25" x14ac:dyDescent="0.2">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25" x14ac:dyDescent="0.2">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25" x14ac:dyDescent="0.2">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 thickBot="1" x14ac:dyDescent="0.25">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25">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4.25" x14ac:dyDescent="0.2">
      <c r="B259" s="31"/>
      <c r="C259" s="31"/>
      <c r="S259" s="166"/>
      <c r="T259" s="166"/>
      <c r="U259" s="166"/>
      <c r="V259" s="166"/>
      <c r="W259" s="166"/>
      <c r="X259" s="166"/>
      <c r="Y259" s="166"/>
    </row>
    <row r="260" spans="2:40" ht="14.25" x14ac:dyDescent="0.2"/>
    <row r="261" spans="2:40" ht="14.25" x14ac:dyDescent="0.2"/>
    <row r="262" spans="2:40" ht="14.25" x14ac:dyDescent="0.2"/>
    <row r="263" spans="2:40" ht="14.25" x14ac:dyDescent="0.2"/>
    <row r="264" spans="2:40" ht="14.25" x14ac:dyDescent="0.2"/>
    <row r="265" spans="2:40" ht="14.25" x14ac:dyDescent="0.2"/>
    <row r="266" spans="2:40" ht="14.25" x14ac:dyDescent="0.2"/>
    <row r="267" spans="2:40" ht="14.25" x14ac:dyDescent="0.2"/>
    <row r="268" spans="2:40" ht="14.25" x14ac:dyDescent="0.2"/>
    <row r="269" spans="2:40" ht="14.25" x14ac:dyDescent="0.2"/>
    <row r="270" spans="2:40" ht="14.25" x14ac:dyDescent="0.2"/>
    <row r="271" spans="2:40" ht="14.25" x14ac:dyDescent="0.2"/>
    <row r="272" spans="2:40" ht="14.25" x14ac:dyDescent="0.2"/>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 thickBot="1" x14ac:dyDescent="0.25"/>
    <row r="2" spans="2:37" ht="18.600000000000001" customHeight="1" thickBot="1" x14ac:dyDescent="0.25">
      <c r="B2" s="743" t="str">
        <f>IF([2]Start!$F$12="","",[2]Start!$F$12)</f>
        <v/>
      </c>
      <c r="C2" s="744"/>
      <c r="D2" s="745"/>
      <c r="L2" s="908" t="str">
        <f>IF(OR(COUNTIF(L$12:$L259,"*30+*")&gt;0,COUNTIF(P$12:$P259,"*30+*")&gt;0),"Note; Habitat selected has a time to target condition greater than 30 years. Non standard agreement may be required.","")</f>
        <v/>
      </c>
      <c r="M2" s="908"/>
      <c r="N2" s="908"/>
      <c r="O2" s="908"/>
      <c r="P2" s="908"/>
      <c r="Q2" s="908"/>
    </row>
    <row r="3" spans="2:37" ht="15.6" customHeight="1" thickBot="1" x14ac:dyDescent="0.25">
      <c r="B3" s="971" t="str">
        <f ca="1">MID(CELL("filename",A1),FIND("]",CELL("filename",A1))+1,256)</f>
        <v>F-2 Off Site River Creation</v>
      </c>
      <c r="C3" s="972"/>
      <c r="D3" s="973"/>
      <c r="L3" s="908"/>
      <c r="M3" s="908"/>
      <c r="N3" s="908"/>
      <c r="O3" s="908"/>
      <c r="P3" s="908"/>
      <c r="Q3" s="908"/>
    </row>
    <row r="4" spans="2:37" ht="9.6" customHeight="1" thickBot="1" x14ac:dyDescent="0.25">
      <c r="B4" s="971"/>
      <c r="C4" s="972"/>
      <c r="D4" s="973"/>
      <c r="L4" s="908"/>
      <c r="M4" s="908"/>
      <c r="N4" s="908"/>
      <c r="O4" s="908"/>
      <c r="P4" s="908"/>
      <c r="Q4" s="908"/>
    </row>
    <row r="5" spans="2:37" ht="26.45" customHeight="1" x14ac:dyDescent="0.2">
      <c r="L5" s="908"/>
      <c r="M5" s="908"/>
      <c r="N5" s="908"/>
      <c r="O5" s="908"/>
      <c r="P5" s="908"/>
      <c r="Q5" s="908"/>
    </row>
    <row r="6" spans="2:37" ht="23.25" customHeight="1" x14ac:dyDescent="0.2">
      <c r="D6" s="131"/>
      <c r="L6" s="402"/>
      <c r="M6" s="402"/>
      <c r="N6" s="402"/>
      <c r="O6" s="402"/>
      <c r="P6" s="402"/>
    </row>
    <row r="7" spans="2:37" ht="14.25" x14ac:dyDescent="0.2"/>
    <row r="8" spans="2:37" ht="14.25" x14ac:dyDescent="0.2"/>
    <row r="9" spans="2:37" ht="15.75" customHeight="1" thickBot="1" x14ac:dyDescent="0.25"/>
    <row r="10" spans="2:37" s="42" customFormat="1" ht="29.25" customHeight="1" thickBot="1" x14ac:dyDescent="0.25">
      <c r="B10" s="246"/>
      <c r="C10" s="966" t="s">
        <v>326</v>
      </c>
      <c r="D10" s="968"/>
      <c r="E10" s="966" t="s">
        <v>297</v>
      </c>
      <c r="F10" s="968"/>
      <c r="G10" s="966" t="s">
        <v>362</v>
      </c>
      <c r="H10" s="968"/>
      <c r="I10" s="939" t="s">
        <v>197</v>
      </c>
      <c r="J10" s="939"/>
      <c r="K10" s="939"/>
      <c r="L10" s="939" t="s">
        <v>252</v>
      </c>
      <c r="M10" s="939"/>
      <c r="N10" s="939"/>
      <c r="O10" s="939"/>
      <c r="P10" s="939"/>
      <c r="Q10" s="939"/>
      <c r="R10" s="966" t="s">
        <v>253</v>
      </c>
      <c r="S10" s="967"/>
      <c r="T10" s="967"/>
      <c r="U10" s="968"/>
      <c r="V10" s="939" t="s">
        <v>345</v>
      </c>
      <c r="W10" s="939"/>
      <c r="X10" s="939" t="s">
        <v>346</v>
      </c>
      <c r="Y10" s="939"/>
      <c r="Z10" s="939" t="s">
        <v>308</v>
      </c>
      <c r="AA10" s="939"/>
      <c r="AB10" s="938" t="s">
        <v>355</v>
      </c>
      <c r="AC10" s="879" t="s">
        <v>202</v>
      </c>
      <c r="AD10" s="877"/>
    </row>
    <row r="11" spans="2:37" s="42" customFormat="1" ht="71.25" x14ac:dyDescent="0.2">
      <c r="B11" s="135" t="s">
        <v>278</v>
      </c>
      <c r="C11" s="303" t="s">
        <v>144</v>
      </c>
      <c r="D11" s="201" t="s">
        <v>363</v>
      </c>
      <c r="E11" s="367" t="s">
        <v>195</v>
      </c>
      <c r="F11" s="201" t="s">
        <v>212</v>
      </c>
      <c r="G11" s="367" t="s">
        <v>196</v>
      </c>
      <c r="H11" s="201" t="s">
        <v>212</v>
      </c>
      <c r="I11" s="367" t="s">
        <v>197</v>
      </c>
      <c r="J11" s="200" t="s">
        <v>197</v>
      </c>
      <c r="K11" s="201" t="s">
        <v>255</v>
      </c>
      <c r="L11" s="367" t="s">
        <v>329</v>
      </c>
      <c r="M11" s="200" t="s">
        <v>257</v>
      </c>
      <c r="N11" s="200" t="s">
        <v>258</v>
      </c>
      <c r="O11" s="200" t="s">
        <v>259</v>
      </c>
      <c r="P11" s="200" t="s">
        <v>260</v>
      </c>
      <c r="Q11" s="201" t="s">
        <v>364</v>
      </c>
      <c r="R11" s="367" t="s">
        <v>262</v>
      </c>
      <c r="S11" s="200" t="s">
        <v>307</v>
      </c>
      <c r="T11" s="200" t="s">
        <v>264</v>
      </c>
      <c r="U11" s="201" t="s">
        <v>265</v>
      </c>
      <c r="V11" s="367" t="s">
        <v>348</v>
      </c>
      <c r="W11" s="201" t="s">
        <v>349</v>
      </c>
      <c r="X11" s="367" t="s">
        <v>348</v>
      </c>
      <c r="Y11" s="201" t="s">
        <v>349</v>
      </c>
      <c r="Z11" s="367" t="s">
        <v>365</v>
      </c>
      <c r="AA11" s="201" t="s">
        <v>349</v>
      </c>
      <c r="AB11" s="939"/>
      <c r="AC11" s="141" t="s">
        <v>221</v>
      </c>
      <c r="AD11" s="358" t="s">
        <v>222</v>
      </c>
      <c r="AK11" s="260" t="s">
        <v>206</v>
      </c>
    </row>
    <row r="12" spans="2:37" ht="14.25" x14ac:dyDescent="0.2">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4.25" x14ac:dyDescent="0.2">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4.25" x14ac:dyDescent="0.2">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4.25" x14ac:dyDescent="0.2">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4.25" x14ac:dyDescent="0.2">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4.25" x14ac:dyDescent="0.2">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4.25" x14ac:dyDescent="0.2">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4.25" x14ac:dyDescent="0.2">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4.25" x14ac:dyDescent="0.2">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4.25" x14ac:dyDescent="0.2">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4.25" x14ac:dyDescent="0.2">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4.25" x14ac:dyDescent="0.2">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4.25" x14ac:dyDescent="0.2">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4.25" x14ac:dyDescent="0.2">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4.25" x14ac:dyDescent="0.2">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4.25" x14ac:dyDescent="0.2">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4.25" x14ac:dyDescent="0.2">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4.25" x14ac:dyDescent="0.2">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4.25" x14ac:dyDescent="0.2">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4.25" x14ac:dyDescent="0.2">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4.25" x14ac:dyDescent="0.2">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4.25" x14ac:dyDescent="0.2">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4.25" x14ac:dyDescent="0.2">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4.25" x14ac:dyDescent="0.2">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4.25" x14ac:dyDescent="0.2">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4.25" x14ac:dyDescent="0.2">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4.25" x14ac:dyDescent="0.2">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4.25" x14ac:dyDescent="0.2">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4.25" x14ac:dyDescent="0.2">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4.25" x14ac:dyDescent="0.2">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4.25" x14ac:dyDescent="0.2">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4.25" x14ac:dyDescent="0.2">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4.25" x14ac:dyDescent="0.2">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4.25" x14ac:dyDescent="0.2">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4.25" x14ac:dyDescent="0.2">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4.25" x14ac:dyDescent="0.2">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4.25" x14ac:dyDescent="0.2">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4.25" x14ac:dyDescent="0.2">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4.25" x14ac:dyDescent="0.2">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4.25" x14ac:dyDescent="0.2">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4.25" x14ac:dyDescent="0.2">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4.25" x14ac:dyDescent="0.2">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4.25" x14ac:dyDescent="0.2">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4.25" x14ac:dyDescent="0.2">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4.25" x14ac:dyDescent="0.2">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4.25" x14ac:dyDescent="0.2">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4.25" x14ac:dyDescent="0.2">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4.25" x14ac:dyDescent="0.2">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4.25" x14ac:dyDescent="0.2">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4.25" x14ac:dyDescent="0.2">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4.25" x14ac:dyDescent="0.2">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4.25" x14ac:dyDescent="0.2">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4.25" x14ac:dyDescent="0.2">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4.25" x14ac:dyDescent="0.2">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4.25" x14ac:dyDescent="0.2">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4.25" x14ac:dyDescent="0.2">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4.25" x14ac:dyDescent="0.2">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4.25" x14ac:dyDescent="0.2">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4.25" x14ac:dyDescent="0.2">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4.25" x14ac:dyDescent="0.2">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4.25" x14ac:dyDescent="0.2">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4.25" x14ac:dyDescent="0.2">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4.25" x14ac:dyDescent="0.2">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4.25" x14ac:dyDescent="0.2">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4.25" x14ac:dyDescent="0.2">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4.25" x14ac:dyDescent="0.2">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4.25" x14ac:dyDescent="0.2">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4.25" x14ac:dyDescent="0.2">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4.25" x14ac:dyDescent="0.2">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4.25" x14ac:dyDescent="0.2">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4.25" x14ac:dyDescent="0.2">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4.25" x14ac:dyDescent="0.2">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4.25" x14ac:dyDescent="0.2">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4.25" x14ac:dyDescent="0.2">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4.25" x14ac:dyDescent="0.2">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4.25" x14ac:dyDescent="0.2">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4.25" x14ac:dyDescent="0.2">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4.25" x14ac:dyDescent="0.2">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4.25" x14ac:dyDescent="0.2">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4.25" x14ac:dyDescent="0.2">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4.25" x14ac:dyDescent="0.2">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4.25" x14ac:dyDescent="0.2">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4.25" x14ac:dyDescent="0.2">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4.25" x14ac:dyDescent="0.2">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4.25" x14ac:dyDescent="0.2">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4.25" x14ac:dyDescent="0.2">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4.25" x14ac:dyDescent="0.2">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4.25" x14ac:dyDescent="0.2">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4.25" x14ac:dyDescent="0.2">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4.25" x14ac:dyDescent="0.2">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4.25" x14ac:dyDescent="0.2">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4.25" x14ac:dyDescent="0.2">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4.25" x14ac:dyDescent="0.2">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4.25" x14ac:dyDescent="0.2">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4.25" x14ac:dyDescent="0.2">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4.25" x14ac:dyDescent="0.2">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4.25" x14ac:dyDescent="0.2">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4.25" x14ac:dyDescent="0.2">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4.25" x14ac:dyDescent="0.2">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4.25" x14ac:dyDescent="0.2">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4.25" x14ac:dyDescent="0.2">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4.25" x14ac:dyDescent="0.2">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4.25" x14ac:dyDescent="0.2">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4.25" x14ac:dyDescent="0.2">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4.25" x14ac:dyDescent="0.2">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4.25" x14ac:dyDescent="0.2">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4.25" x14ac:dyDescent="0.2">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4.25" x14ac:dyDescent="0.2">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4.25" x14ac:dyDescent="0.2">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4.25" x14ac:dyDescent="0.2">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4.25" x14ac:dyDescent="0.2">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4.25" x14ac:dyDescent="0.2">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4.25" x14ac:dyDescent="0.2">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4.25" x14ac:dyDescent="0.2">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4.25" x14ac:dyDescent="0.2">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4.25" x14ac:dyDescent="0.2">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4.25" x14ac:dyDescent="0.2">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4.25" x14ac:dyDescent="0.2">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4.25" x14ac:dyDescent="0.2">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4.25" x14ac:dyDescent="0.2">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4.25" x14ac:dyDescent="0.2">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4.25" x14ac:dyDescent="0.2">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4.25" x14ac:dyDescent="0.2">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4.25" x14ac:dyDescent="0.2">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4.25" x14ac:dyDescent="0.2">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4.25" x14ac:dyDescent="0.2">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4.25" x14ac:dyDescent="0.2">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4.25" x14ac:dyDescent="0.2">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4.25" x14ac:dyDescent="0.2">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4.25" x14ac:dyDescent="0.2">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4.25" x14ac:dyDescent="0.2">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4.25" x14ac:dyDescent="0.2">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4.25" x14ac:dyDescent="0.2">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4.25" x14ac:dyDescent="0.2">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4.25" x14ac:dyDescent="0.2">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4.25" x14ac:dyDescent="0.2">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4.25" x14ac:dyDescent="0.2">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4.25" x14ac:dyDescent="0.2">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4.25" x14ac:dyDescent="0.2">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4.25" x14ac:dyDescent="0.2">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4.25" x14ac:dyDescent="0.2">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4.25" x14ac:dyDescent="0.2">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4.25" x14ac:dyDescent="0.2">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4.25" x14ac:dyDescent="0.2">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4.25" x14ac:dyDescent="0.2">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4.25" x14ac:dyDescent="0.2">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4.25" x14ac:dyDescent="0.2">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4.25" x14ac:dyDescent="0.2">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4.25" x14ac:dyDescent="0.2">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4.25" x14ac:dyDescent="0.2">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4.25" x14ac:dyDescent="0.2">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4.25" x14ac:dyDescent="0.2">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4.25" x14ac:dyDescent="0.2">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4.25" x14ac:dyDescent="0.2">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4.25" x14ac:dyDescent="0.2">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4.25" x14ac:dyDescent="0.2">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4.25" x14ac:dyDescent="0.2">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4.25" x14ac:dyDescent="0.2">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4.25" x14ac:dyDescent="0.2">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4.25" x14ac:dyDescent="0.2">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4.25" x14ac:dyDescent="0.2">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4.25" x14ac:dyDescent="0.2">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4.25" x14ac:dyDescent="0.2">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4.25" x14ac:dyDescent="0.2">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4.25" x14ac:dyDescent="0.2">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4.25" x14ac:dyDescent="0.2">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4.25" x14ac:dyDescent="0.2">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4.25" x14ac:dyDescent="0.2">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4.25" x14ac:dyDescent="0.2">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4.25" x14ac:dyDescent="0.2">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4.25" x14ac:dyDescent="0.2">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4.25" x14ac:dyDescent="0.2">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4.25" x14ac:dyDescent="0.2">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4.25" x14ac:dyDescent="0.2">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4.25" x14ac:dyDescent="0.2">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4.25" x14ac:dyDescent="0.2">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4.25" x14ac:dyDescent="0.2">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4.25" x14ac:dyDescent="0.2">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4.25" x14ac:dyDescent="0.2">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4.25" x14ac:dyDescent="0.2">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4.25" x14ac:dyDescent="0.2">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4.25" x14ac:dyDescent="0.2">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4.25" x14ac:dyDescent="0.2">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4.25" x14ac:dyDescent="0.2">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4.25" x14ac:dyDescent="0.2">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4.25" x14ac:dyDescent="0.2">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4.25" x14ac:dyDescent="0.2">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4.25" x14ac:dyDescent="0.2">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4.25" x14ac:dyDescent="0.2">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4.25" x14ac:dyDescent="0.2">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4.25" x14ac:dyDescent="0.2">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4.25" x14ac:dyDescent="0.2">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4.25" x14ac:dyDescent="0.2">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4.25" x14ac:dyDescent="0.2">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4.25" x14ac:dyDescent="0.2">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4.25" x14ac:dyDescent="0.2">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4.25" x14ac:dyDescent="0.2">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4.25" x14ac:dyDescent="0.2">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4.25" x14ac:dyDescent="0.2">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4.25" x14ac:dyDescent="0.2">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4.25" x14ac:dyDescent="0.2">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4.25" x14ac:dyDescent="0.2">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4.25" x14ac:dyDescent="0.2">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4.25" x14ac:dyDescent="0.2">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4.25" x14ac:dyDescent="0.2">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4.25" x14ac:dyDescent="0.2">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4.25" x14ac:dyDescent="0.2">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4.25" x14ac:dyDescent="0.2">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4.25" x14ac:dyDescent="0.2">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4.25" x14ac:dyDescent="0.2">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4.25" x14ac:dyDescent="0.2">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4.25" x14ac:dyDescent="0.2">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4.25" x14ac:dyDescent="0.2">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4.25" x14ac:dyDescent="0.2">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4.25" x14ac:dyDescent="0.2">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4.25" x14ac:dyDescent="0.2">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4.25" x14ac:dyDescent="0.2">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4.25" x14ac:dyDescent="0.2">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4.25" x14ac:dyDescent="0.2">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4.25" x14ac:dyDescent="0.2">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4.25" x14ac:dyDescent="0.2">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4.25" x14ac:dyDescent="0.2">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4.25" x14ac:dyDescent="0.2">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4.25" x14ac:dyDescent="0.2">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4.25" x14ac:dyDescent="0.2">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4.25" x14ac:dyDescent="0.2">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4.25" x14ac:dyDescent="0.2">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4.25" x14ac:dyDescent="0.2">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4.25" x14ac:dyDescent="0.2">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4.25" x14ac:dyDescent="0.2">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4.25" x14ac:dyDescent="0.2">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4.25" x14ac:dyDescent="0.2">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4.25" x14ac:dyDescent="0.2">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4.25" x14ac:dyDescent="0.2">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4.25" x14ac:dyDescent="0.2">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4.25" x14ac:dyDescent="0.2">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4.25" x14ac:dyDescent="0.2">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4.25" x14ac:dyDescent="0.2">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4.25" x14ac:dyDescent="0.2">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4.25" x14ac:dyDescent="0.2">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4.25" x14ac:dyDescent="0.2">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4.25" x14ac:dyDescent="0.2">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4.25" x14ac:dyDescent="0.2">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4.25" x14ac:dyDescent="0.2">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4.25" x14ac:dyDescent="0.2">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4.25" x14ac:dyDescent="0.2">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4.25" x14ac:dyDescent="0.2">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5" thickBot="1" x14ac:dyDescent="0.25">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5" thickBot="1" x14ac:dyDescent="0.2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x14ac:dyDescent="0.2"/>
    <row r="262" spans="2:37" ht="27" customHeight="1" x14ac:dyDescent="0.2"/>
    <row r="263" spans="2:37" ht="14.25" x14ac:dyDescent="0.2"/>
    <row r="264" spans="2:37" ht="14.25" x14ac:dyDescent="0.2"/>
    <row r="265" spans="2:37" ht="14.25" x14ac:dyDescent="0.2"/>
    <row r="266" spans="2:37" ht="14.25" x14ac:dyDescent="0.2"/>
    <row r="267" spans="2:37" ht="14.25" x14ac:dyDescent="0.2"/>
    <row r="268" spans="2:37" ht="14.25" x14ac:dyDescent="0.2"/>
    <row r="269" spans="2:37" ht="14.25" hidden="1" x14ac:dyDescent="0.2"/>
    <row r="270" spans="2:37" ht="14.25" hidden="1" x14ac:dyDescent="0.2"/>
    <row r="271" spans="2:37" ht="14.25" hidden="1" x14ac:dyDescent="0.2"/>
    <row r="272" spans="2:37" ht="14.25" hidden="1" x14ac:dyDescent="0.2"/>
    <row r="273" ht="14.25" hidden="1" x14ac:dyDescent="0.2"/>
    <row r="274" ht="14.25" hidden="1" x14ac:dyDescent="0.2"/>
    <row r="275" ht="14.25" hidden="1" x14ac:dyDescent="0.2"/>
    <row r="1048576" ht="14.25" x14ac:dyDescent="0.2"/>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x14ac:dyDescent="0.25"/>
    <row r="2" spans="2:50" ht="27" customHeight="1" thickBot="1" x14ac:dyDescent="0.25">
      <c r="B2" s="743" t="str">
        <f>IF([2]Start!$F$12="","",[2]Start!$F$12)</f>
        <v/>
      </c>
      <c r="C2" s="745"/>
      <c r="R2" s="132"/>
      <c r="Y2" s="908" t="str">
        <f>IF(OR(COUNTIF($Y$12:Y259,"*30+*")&gt;0,COUNTIF($AC$12:AC259,"*30+*")&gt;0),"Note; Habitat selected has a time to target condition greater than 30 years. Non standard agreement may be required. ⚠","")</f>
        <v/>
      </c>
      <c r="Z2" s="908"/>
      <c r="AA2" s="908"/>
      <c r="AB2" s="908"/>
      <c r="AC2" s="908"/>
      <c r="AD2" s="908"/>
    </row>
    <row r="3" spans="2:50" ht="21" customHeight="1" x14ac:dyDescent="0.2">
      <c r="B3" s="1027" t="str">
        <f ca="1">MID(CELL("filename",A1),FIND("]",CELL("filename",A1))+1,256)</f>
        <v>F-3 Off Site River Enhancement</v>
      </c>
      <c r="C3" s="1028"/>
      <c r="Y3" s="908"/>
      <c r="Z3" s="908"/>
      <c r="AA3" s="908"/>
      <c r="AB3" s="908"/>
      <c r="AC3" s="908"/>
      <c r="AD3" s="908"/>
    </row>
    <row r="4" spans="2:50" ht="21" customHeight="1" thickBot="1" x14ac:dyDescent="0.25">
      <c r="B4" s="1029"/>
      <c r="C4" s="1030"/>
      <c r="Y4" s="908"/>
      <c r="Z4" s="908"/>
      <c r="AA4" s="908"/>
      <c r="AB4" s="908"/>
      <c r="AC4" s="908"/>
      <c r="AD4" s="908"/>
    </row>
    <row r="5" spans="2:50" ht="15.6" customHeight="1" x14ac:dyDescent="0.25">
      <c r="Q5" s="31" t="s">
        <v>366</v>
      </c>
      <c r="AH5" s="193"/>
      <c r="AI5" s="193"/>
      <c r="AJ5" s="193"/>
      <c r="AK5" s="193"/>
      <c r="AL5" s="193"/>
      <c r="AM5" s="193"/>
      <c r="AN5" s="193"/>
    </row>
    <row r="6" spans="2:50" ht="15" customHeight="1" x14ac:dyDescent="0.2"/>
    <row r="7" spans="2:50" ht="14.25" x14ac:dyDescent="0.2">
      <c r="C7" s="131"/>
    </row>
    <row r="8" spans="2:50" ht="15" thickBot="1" x14ac:dyDescent="0.25"/>
    <row r="9" spans="2:50" ht="15" thickBot="1" x14ac:dyDescent="0.25">
      <c r="C9" s="131"/>
      <c r="D9" s="131"/>
      <c r="E9" s="131"/>
      <c r="F9" s="131"/>
      <c r="G9" s="131"/>
      <c r="H9" s="131"/>
      <c r="I9" s="131"/>
      <c r="J9" s="131"/>
      <c r="K9" s="131"/>
      <c r="L9" s="131"/>
      <c r="M9" s="131"/>
      <c r="N9" s="950" t="s">
        <v>249</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9"/>
    </row>
    <row r="10" spans="2:50" s="42" customFormat="1" ht="27" customHeight="1" thickBot="1" x14ac:dyDescent="0.25">
      <c r="C10" s="1005" t="s">
        <v>271</v>
      </c>
      <c r="D10" s="1011"/>
      <c r="E10" s="1011"/>
      <c r="F10" s="1011"/>
      <c r="G10" s="1011"/>
      <c r="H10" s="1011"/>
      <c r="I10" s="1011"/>
      <c r="J10" s="1011"/>
      <c r="K10" s="1011"/>
      <c r="L10" s="1011"/>
      <c r="M10" s="1011"/>
      <c r="N10" s="1033" t="s">
        <v>367</v>
      </c>
      <c r="O10" s="1031" t="s">
        <v>273</v>
      </c>
      <c r="P10" s="1032"/>
      <c r="Q10" s="939" t="s">
        <v>319</v>
      </c>
      <c r="R10" s="939" t="s">
        <v>297</v>
      </c>
      <c r="S10" s="939"/>
      <c r="T10" s="939" t="s">
        <v>298</v>
      </c>
      <c r="U10" s="939"/>
      <c r="V10" s="966" t="s">
        <v>197</v>
      </c>
      <c r="W10" s="967"/>
      <c r="X10" s="968"/>
      <c r="Y10" s="966" t="s">
        <v>252</v>
      </c>
      <c r="Z10" s="967"/>
      <c r="AA10" s="967"/>
      <c r="AB10" s="967"/>
      <c r="AC10" s="967"/>
      <c r="AD10" s="968"/>
      <c r="AE10" s="966" t="s">
        <v>253</v>
      </c>
      <c r="AF10" s="967"/>
      <c r="AG10" s="967"/>
      <c r="AH10" s="968"/>
      <c r="AI10" s="939" t="s">
        <v>345</v>
      </c>
      <c r="AJ10" s="939"/>
      <c r="AK10" s="966" t="s">
        <v>346</v>
      </c>
      <c r="AL10" s="968"/>
      <c r="AM10" s="939" t="s">
        <v>308</v>
      </c>
      <c r="AN10" s="966"/>
      <c r="AO10" s="960" t="s">
        <v>355</v>
      </c>
      <c r="AP10" s="879" t="s">
        <v>202</v>
      </c>
      <c r="AQ10" s="877"/>
    </row>
    <row r="11" spans="2:50" ht="60" customHeight="1" thickBot="1" x14ac:dyDescent="0.25">
      <c r="B11" s="135" t="s">
        <v>278</v>
      </c>
      <c r="C11" s="136" t="s">
        <v>279</v>
      </c>
      <c r="D11" s="136" t="s">
        <v>319</v>
      </c>
      <c r="E11" s="136" t="s">
        <v>281</v>
      </c>
      <c r="F11" s="136" t="s">
        <v>282</v>
      </c>
      <c r="G11" s="136" t="s">
        <v>283</v>
      </c>
      <c r="H11" s="136" t="s">
        <v>284</v>
      </c>
      <c r="I11" s="136" t="s">
        <v>285</v>
      </c>
      <c r="J11" s="136" t="s">
        <v>197</v>
      </c>
      <c r="K11" s="136" t="s">
        <v>286</v>
      </c>
      <c r="L11" s="136" t="s">
        <v>334</v>
      </c>
      <c r="M11" s="137" t="s">
        <v>359</v>
      </c>
      <c r="N11" s="1034"/>
      <c r="O11" s="367" t="s">
        <v>335</v>
      </c>
      <c r="P11" s="358" t="s">
        <v>336</v>
      </c>
      <c r="Q11" s="1035"/>
      <c r="R11" s="367" t="s">
        <v>195</v>
      </c>
      <c r="S11" s="201" t="s">
        <v>212</v>
      </c>
      <c r="T11" s="367" t="s">
        <v>196</v>
      </c>
      <c r="U11" s="201" t="s">
        <v>212</v>
      </c>
      <c r="V11" s="367" t="s">
        <v>197</v>
      </c>
      <c r="W11" s="200" t="s">
        <v>197</v>
      </c>
      <c r="X11" s="201" t="s">
        <v>255</v>
      </c>
      <c r="Y11" s="367" t="s">
        <v>329</v>
      </c>
      <c r="Z11" s="200" t="s">
        <v>292</v>
      </c>
      <c r="AA11" s="200" t="s">
        <v>293</v>
      </c>
      <c r="AB11" s="200" t="s">
        <v>259</v>
      </c>
      <c r="AC11" s="200" t="s">
        <v>260</v>
      </c>
      <c r="AD11" s="201" t="s">
        <v>337</v>
      </c>
      <c r="AE11" s="367" t="s">
        <v>338</v>
      </c>
      <c r="AF11" s="200" t="s">
        <v>330</v>
      </c>
      <c r="AG11" s="200" t="s">
        <v>295</v>
      </c>
      <c r="AH11" s="201" t="s">
        <v>265</v>
      </c>
      <c r="AI11" s="367" t="s">
        <v>348</v>
      </c>
      <c r="AJ11" s="201" t="s">
        <v>349</v>
      </c>
      <c r="AK11" s="367" t="s">
        <v>348</v>
      </c>
      <c r="AL11" s="201" t="s">
        <v>349</v>
      </c>
      <c r="AM11" s="367" t="s">
        <v>365</v>
      </c>
      <c r="AN11" s="450" t="s">
        <v>349</v>
      </c>
      <c r="AO11" s="1026"/>
      <c r="AP11" s="141" t="s">
        <v>221</v>
      </c>
      <c r="AQ11" s="358" t="s">
        <v>222</v>
      </c>
      <c r="AX11" s="260" t="s">
        <v>206</v>
      </c>
    </row>
    <row r="12" spans="2:50" ht="14.25" x14ac:dyDescent="0.2">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4.25" x14ac:dyDescent="0.2">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25" x14ac:dyDescent="0.2">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4.25" x14ac:dyDescent="0.2">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4.25" x14ac:dyDescent="0.2">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4.25" x14ac:dyDescent="0.2">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4.25" x14ac:dyDescent="0.2">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4.25" x14ac:dyDescent="0.2">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4.25" x14ac:dyDescent="0.2">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4.25" x14ac:dyDescent="0.2">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4.25" x14ac:dyDescent="0.2">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4.25" x14ac:dyDescent="0.2">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4.25" x14ac:dyDescent="0.2">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4.25" x14ac:dyDescent="0.2">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4.25" x14ac:dyDescent="0.2">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4.25" x14ac:dyDescent="0.2">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4.25" x14ac:dyDescent="0.2">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4.25" x14ac:dyDescent="0.2">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4.25" x14ac:dyDescent="0.2">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4.25" x14ac:dyDescent="0.2">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4.25" x14ac:dyDescent="0.2">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4.25" x14ac:dyDescent="0.2">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4.25" x14ac:dyDescent="0.2">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4.25" x14ac:dyDescent="0.2">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4.25" x14ac:dyDescent="0.2">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4.25" x14ac:dyDescent="0.2">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4.25" x14ac:dyDescent="0.2">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4.25" x14ac:dyDescent="0.2">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4.25" x14ac:dyDescent="0.2">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4.25" x14ac:dyDescent="0.2">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4.25" x14ac:dyDescent="0.2">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4.25" x14ac:dyDescent="0.2">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4.25" x14ac:dyDescent="0.2">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4.25" x14ac:dyDescent="0.2">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4.25" x14ac:dyDescent="0.2">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4.25" x14ac:dyDescent="0.2">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4.25" x14ac:dyDescent="0.2">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4.25" x14ac:dyDescent="0.2">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4.25" x14ac:dyDescent="0.2">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4.25" x14ac:dyDescent="0.2">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4.25" x14ac:dyDescent="0.2">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4.25" x14ac:dyDescent="0.2">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4.25" x14ac:dyDescent="0.2">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4.25" x14ac:dyDescent="0.2">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4.25" x14ac:dyDescent="0.2">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4.25" x14ac:dyDescent="0.2">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4.25" x14ac:dyDescent="0.2">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4.25" x14ac:dyDescent="0.2">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4.25" x14ac:dyDescent="0.2">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4.25" x14ac:dyDescent="0.2">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4.25" x14ac:dyDescent="0.2">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4.25" x14ac:dyDescent="0.2">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4.25" x14ac:dyDescent="0.2">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4.25" x14ac:dyDescent="0.2">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4.25" x14ac:dyDescent="0.2">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4.25" x14ac:dyDescent="0.2">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4.25" x14ac:dyDescent="0.2">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4.25" x14ac:dyDescent="0.2">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4.25" x14ac:dyDescent="0.2">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4.25" x14ac:dyDescent="0.2">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4.25" x14ac:dyDescent="0.2">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4.25" x14ac:dyDescent="0.2">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4.25" x14ac:dyDescent="0.2">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4.25" x14ac:dyDescent="0.2">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4.25" x14ac:dyDescent="0.2">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4.25" x14ac:dyDescent="0.2">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25" x14ac:dyDescent="0.2">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4.25" x14ac:dyDescent="0.2">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4.25" x14ac:dyDescent="0.2">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4.25" x14ac:dyDescent="0.2">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4.25" x14ac:dyDescent="0.2">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4.25" x14ac:dyDescent="0.2">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4.25" x14ac:dyDescent="0.2">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4.25" x14ac:dyDescent="0.2">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4.25" x14ac:dyDescent="0.2">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4.25" x14ac:dyDescent="0.2">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4.25" x14ac:dyDescent="0.2">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4.25" x14ac:dyDescent="0.2">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4.25" x14ac:dyDescent="0.2">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4.25" x14ac:dyDescent="0.2">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4.25" x14ac:dyDescent="0.2">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4.25" x14ac:dyDescent="0.2">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4.25" x14ac:dyDescent="0.2">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4.25" x14ac:dyDescent="0.2">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4.25" x14ac:dyDescent="0.2">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4.25" x14ac:dyDescent="0.2">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4.25" x14ac:dyDescent="0.2">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4.25" x14ac:dyDescent="0.2">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4.25" x14ac:dyDescent="0.2">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4.25" x14ac:dyDescent="0.2">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4.25" x14ac:dyDescent="0.2">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4.25" x14ac:dyDescent="0.2">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4.25" x14ac:dyDescent="0.2">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4.25" x14ac:dyDescent="0.2">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4.25" x14ac:dyDescent="0.2">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4.25" x14ac:dyDescent="0.2">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4.25" x14ac:dyDescent="0.2">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4.25" x14ac:dyDescent="0.2">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4.25" x14ac:dyDescent="0.2">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4.25" x14ac:dyDescent="0.2">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4.25" x14ac:dyDescent="0.2">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4.25" x14ac:dyDescent="0.2">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4.25" x14ac:dyDescent="0.2">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4.25" x14ac:dyDescent="0.2">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4.25" x14ac:dyDescent="0.2">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4.25" x14ac:dyDescent="0.2">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4.25" x14ac:dyDescent="0.2">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4.25" x14ac:dyDescent="0.2">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4.25" x14ac:dyDescent="0.2">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4.25" x14ac:dyDescent="0.2">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4.25" x14ac:dyDescent="0.2">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4.25" x14ac:dyDescent="0.2">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4.25" x14ac:dyDescent="0.2">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4.25" x14ac:dyDescent="0.2">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4.25" x14ac:dyDescent="0.2">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4.25" x14ac:dyDescent="0.2">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4.25" x14ac:dyDescent="0.2">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4.25" x14ac:dyDescent="0.2">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4.25" x14ac:dyDescent="0.2">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4.25" x14ac:dyDescent="0.2">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4.25" x14ac:dyDescent="0.2">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4.25" x14ac:dyDescent="0.2">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4.25" x14ac:dyDescent="0.2">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4.25" x14ac:dyDescent="0.2">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4.25" x14ac:dyDescent="0.2">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4.25" x14ac:dyDescent="0.2">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4.25" x14ac:dyDescent="0.2">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4.25" x14ac:dyDescent="0.2">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4.25" x14ac:dyDescent="0.2">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4.25" x14ac:dyDescent="0.2">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25" x14ac:dyDescent="0.2">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4.25" x14ac:dyDescent="0.2">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4.25" x14ac:dyDescent="0.2">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4.25" x14ac:dyDescent="0.2">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4.25" x14ac:dyDescent="0.2">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4.25" x14ac:dyDescent="0.2">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4.25" x14ac:dyDescent="0.2">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4.25" x14ac:dyDescent="0.2">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4.25" x14ac:dyDescent="0.2">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4.25" x14ac:dyDescent="0.2">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4.25" x14ac:dyDescent="0.2">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4.25" x14ac:dyDescent="0.2">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4.25" x14ac:dyDescent="0.2">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4.25" x14ac:dyDescent="0.2">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4.25" x14ac:dyDescent="0.2">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4.25" x14ac:dyDescent="0.2">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4.25" x14ac:dyDescent="0.2">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4.25" x14ac:dyDescent="0.2">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4.25" x14ac:dyDescent="0.2">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4.25" x14ac:dyDescent="0.2">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4.25" x14ac:dyDescent="0.2">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4.25" x14ac:dyDescent="0.2">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4.25" x14ac:dyDescent="0.2">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4.25" x14ac:dyDescent="0.2">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4.25" x14ac:dyDescent="0.2">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4.25" x14ac:dyDescent="0.2">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4.25" x14ac:dyDescent="0.2">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4.25" x14ac:dyDescent="0.2">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4.25" x14ac:dyDescent="0.2">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4.25" x14ac:dyDescent="0.2">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4.25" x14ac:dyDescent="0.2">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4.25" x14ac:dyDescent="0.2">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4.25" x14ac:dyDescent="0.2">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4.25" x14ac:dyDescent="0.2">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4.25" x14ac:dyDescent="0.2">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4.25" x14ac:dyDescent="0.2">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4.25" x14ac:dyDescent="0.2">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4.25" x14ac:dyDescent="0.2">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4.25" x14ac:dyDescent="0.2">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4.25" x14ac:dyDescent="0.2">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4.25" x14ac:dyDescent="0.2">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4.25" x14ac:dyDescent="0.2">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4.25" x14ac:dyDescent="0.2">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4.25" x14ac:dyDescent="0.2">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4.25" x14ac:dyDescent="0.2">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4.25" x14ac:dyDescent="0.2">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4.25" x14ac:dyDescent="0.2">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4.25" x14ac:dyDescent="0.2">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4.25" x14ac:dyDescent="0.2">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4.25" x14ac:dyDescent="0.2">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4.25" x14ac:dyDescent="0.2">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4.25" x14ac:dyDescent="0.2">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4.25" x14ac:dyDescent="0.2">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4.25" x14ac:dyDescent="0.2">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4.25" x14ac:dyDescent="0.2">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4.25" x14ac:dyDescent="0.2">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4.25" x14ac:dyDescent="0.2">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4.25" x14ac:dyDescent="0.2">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4.25" x14ac:dyDescent="0.2">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4.25" x14ac:dyDescent="0.2">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4.25" x14ac:dyDescent="0.2">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4.25" x14ac:dyDescent="0.2">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4.25" x14ac:dyDescent="0.2">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4.25" x14ac:dyDescent="0.2">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25" x14ac:dyDescent="0.2">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4.25" x14ac:dyDescent="0.2">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4.25" x14ac:dyDescent="0.2">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4.25" x14ac:dyDescent="0.2">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4.25" x14ac:dyDescent="0.2">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4.25" x14ac:dyDescent="0.2">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4.25" x14ac:dyDescent="0.2">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4.25" x14ac:dyDescent="0.2">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4.25" x14ac:dyDescent="0.2">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4.25" x14ac:dyDescent="0.2">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4.25" x14ac:dyDescent="0.2">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4.25" x14ac:dyDescent="0.2">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4.25" x14ac:dyDescent="0.2">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4.25" x14ac:dyDescent="0.2">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4.25" x14ac:dyDescent="0.2">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4.25" x14ac:dyDescent="0.2">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4.25" x14ac:dyDescent="0.2">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4.25" x14ac:dyDescent="0.2">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4.25" x14ac:dyDescent="0.2">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4.25" x14ac:dyDescent="0.2">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4.25" x14ac:dyDescent="0.2">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4.25" x14ac:dyDescent="0.2">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4.25" x14ac:dyDescent="0.2">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4.25" x14ac:dyDescent="0.2">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4.25" x14ac:dyDescent="0.2">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4.25" x14ac:dyDescent="0.2">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4.25" x14ac:dyDescent="0.2">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4.25" x14ac:dyDescent="0.2">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4.25" x14ac:dyDescent="0.2">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4.25" x14ac:dyDescent="0.2">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4.25" x14ac:dyDescent="0.2">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4.25" x14ac:dyDescent="0.2">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4.25" x14ac:dyDescent="0.2">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4.25" x14ac:dyDescent="0.2">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4.25" x14ac:dyDescent="0.2">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4.25" x14ac:dyDescent="0.2">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4.25" x14ac:dyDescent="0.2">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4.25" x14ac:dyDescent="0.2">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4.25" x14ac:dyDescent="0.2">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4.25" x14ac:dyDescent="0.2">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4.25" x14ac:dyDescent="0.2">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4.25" x14ac:dyDescent="0.2">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4.25" x14ac:dyDescent="0.2">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4.25" x14ac:dyDescent="0.2">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4.25" x14ac:dyDescent="0.2">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4.25" x14ac:dyDescent="0.2">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4.25" x14ac:dyDescent="0.2">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4.25" x14ac:dyDescent="0.2">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4.25" x14ac:dyDescent="0.2">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4.25" x14ac:dyDescent="0.2">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4.25" x14ac:dyDescent="0.2">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5" thickBot="1" x14ac:dyDescent="0.25">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5" thickBot="1" x14ac:dyDescent="0.25">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4.25" x14ac:dyDescent="0.2">
      <c r="AJ259" s="31" t="str">
        <f>IF(AI259="","",IF(VLOOKUP(AI259,'[2]G-7 Rivers Data'!$AA$4:$AB$6,2,FALSE)=0,"Spatial Data Missing",VLOOKUP(AI259,'[2]G-7 Rivers Data'!$AA$4:$AB$6,2,FALSE)))</f>
        <v/>
      </c>
      <c r="AM259" s="40"/>
    </row>
    <row r="260" spans="2:50" ht="14.25" x14ac:dyDescent="0.2"/>
    <row r="261" spans="2:50" ht="14.25" x14ac:dyDescent="0.2"/>
    <row r="262" spans="2:50" ht="14.25" x14ac:dyDescent="0.2"/>
    <row r="263" spans="2:50" ht="14.25" x14ac:dyDescent="0.2"/>
    <row r="264" spans="2:50" ht="14.25" x14ac:dyDescent="0.2"/>
    <row r="265" spans="2:50" ht="14.25" x14ac:dyDescent="0.2"/>
    <row r="266" spans="2:50" ht="14.25" x14ac:dyDescent="0.2"/>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T10:U10"/>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40625" defaultRowHeight="14.25" zeroHeight="1" x14ac:dyDescent="0.2"/>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x14ac:dyDescent="0.3">
      <c r="D1" s="1039" t="s">
        <v>368</v>
      </c>
      <c r="E1" s="1039"/>
      <c r="F1" s="1039"/>
      <c r="G1" s="211"/>
      <c r="H1" s="211"/>
      <c r="I1" s="211"/>
      <c r="J1" s="211"/>
      <c r="V1" s="954" t="s">
        <v>369</v>
      </c>
      <c r="W1" s="1036"/>
      <c r="X1" s="956"/>
      <c r="Z1" s="954" t="s">
        <v>370</v>
      </c>
      <c r="AA1" s="956"/>
      <c r="AF1" s="1037" t="s">
        <v>371</v>
      </c>
      <c r="AG1" s="1037" t="s">
        <v>372</v>
      </c>
    </row>
    <row r="2" spans="1:33" s="117" customFormat="1" ht="41.45" customHeight="1" x14ac:dyDescent="0.2">
      <c r="B2" s="103" t="s">
        <v>373</v>
      </c>
      <c r="C2" s="212" t="s">
        <v>374</v>
      </c>
      <c r="D2" s="212" t="s">
        <v>375</v>
      </c>
      <c r="E2" s="212" t="s">
        <v>376</v>
      </c>
      <c r="F2" s="212" t="s">
        <v>377</v>
      </c>
      <c r="G2" s="212" t="s">
        <v>378</v>
      </c>
      <c r="H2" s="212" t="s">
        <v>379</v>
      </c>
      <c r="I2" s="212" t="s">
        <v>380</v>
      </c>
      <c r="J2" s="212" t="s">
        <v>381</v>
      </c>
      <c r="K2" s="212" t="s">
        <v>382</v>
      </c>
      <c r="L2" s="212" t="s">
        <v>383</v>
      </c>
      <c r="M2" s="212" t="s">
        <v>384</v>
      </c>
      <c r="N2" s="213" t="s">
        <v>385</v>
      </c>
      <c r="O2" s="213" t="s">
        <v>349</v>
      </c>
      <c r="P2" s="213" t="s">
        <v>386</v>
      </c>
      <c r="Q2" s="213" t="s">
        <v>349</v>
      </c>
      <c r="R2" s="213" t="s">
        <v>387</v>
      </c>
      <c r="S2" s="213" t="s">
        <v>388</v>
      </c>
      <c r="T2" s="31"/>
      <c r="U2" s="31"/>
      <c r="V2" s="103" t="s">
        <v>389</v>
      </c>
      <c r="W2" s="103" t="s">
        <v>390</v>
      </c>
      <c r="X2" s="103" t="s">
        <v>391</v>
      </c>
      <c r="Y2" s="31"/>
      <c r="Z2" s="103" t="s">
        <v>392</v>
      </c>
      <c r="AA2" s="103" t="s">
        <v>393</v>
      </c>
      <c r="AB2" s="31"/>
      <c r="AC2" s="31"/>
      <c r="AD2" s="103" t="s">
        <v>394</v>
      </c>
      <c r="AE2" s="31"/>
      <c r="AF2" s="1038"/>
      <c r="AG2" s="1038"/>
    </row>
    <row r="3" spans="1:33" ht="28.5" x14ac:dyDescent="0.2">
      <c r="A3" s="215" t="s">
        <v>395</v>
      </c>
      <c r="B3" s="119" t="s">
        <v>396</v>
      </c>
      <c r="C3" s="570" t="s">
        <v>397</v>
      </c>
      <c r="D3" s="543" t="s">
        <v>398</v>
      </c>
      <c r="E3" s="543"/>
      <c r="F3" s="519" t="s">
        <v>75</v>
      </c>
      <c r="G3" s="543"/>
      <c r="H3" s="519" t="s">
        <v>399</v>
      </c>
      <c r="I3" s="543"/>
      <c r="J3" s="543" t="s">
        <v>400</v>
      </c>
      <c r="K3" s="543" t="s">
        <v>29</v>
      </c>
      <c r="L3" s="543">
        <f t="shared" ref="L3:L8" si="0">IF($K3=$V$3,$W$3,IF($K3=$V$3,$W$3,IF($K3=$V$4,$W$4,IF($K3=$V$5,$W$5,IF($K3=$V$6,$W$6,IF($K3=$V$7,$W$7))))))</f>
        <v>4</v>
      </c>
      <c r="M3" s="543" t="str">
        <f>IF($K3=$V$3,$X$3,IF($K3=$V$4,$X$4,IF($K3=$V$5,$X$5,IF($K3=$V$6,$X$6,IF($K3=$V$7,$X$7)))))</f>
        <v>Same broad habitat or a higher distinctiveness habitat required (≥)</v>
      </c>
      <c r="N3" s="543" t="s">
        <v>162</v>
      </c>
      <c r="O3" s="543">
        <f t="shared" ref="O3:O33" si="1">VLOOKUP(N3,Difficulty,2,FALSE)</f>
        <v>1</v>
      </c>
      <c r="P3" s="543" t="s">
        <v>162</v>
      </c>
      <c r="Q3" s="543">
        <f t="shared" ref="Q3:Q33" si="2">VLOOKUP(P3,Difficulty,2,FALSE)</f>
        <v>1</v>
      </c>
      <c r="R3" s="519"/>
      <c r="S3" s="543"/>
      <c r="V3" s="519" t="s">
        <v>401</v>
      </c>
      <c r="W3" s="543">
        <v>8</v>
      </c>
      <c r="X3" s="621" t="s">
        <v>402</v>
      </c>
      <c r="Z3" s="543" t="s">
        <v>27</v>
      </c>
      <c r="AA3" s="543">
        <v>3</v>
      </c>
      <c r="AD3" s="214" t="s">
        <v>403</v>
      </c>
      <c r="AF3" s="216" t="s">
        <v>75</v>
      </c>
      <c r="AG3" s="216" t="s">
        <v>75</v>
      </c>
    </row>
    <row r="4" spans="1:33" x14ac:dyDescent="0.2">
      <c r="A4" s="215" t="s">
        <v>404</v>
      </c>
      <c r="B4" s="119" t="s">
        <v>405</v>
      </c>
      <c r="C4" s="570" t="s">
        <v>406</v>
      </c>
      <c r="D4" s="543" t="s">
        <v>398</v>
      </c>
      <c r="E4" s="543"/>
      <c r="F4" s="519" t="s">
        <v>75</v>
      </c>
      <c r="G4" s="543"/>
      <c r="H4" s="519" t="s">
        <v>399</v>
      </c>
      <c r="I4" s="543"/>
      <c r="J4" s="543" t="s">
        <v>400</v>
      </c>
      <c r="K4" s="543" t="s">
        <v>29</v>
      </c>
      <c r="L4" s="543">
        <f t="shared" si="0"/>
        <v>4</v>
      </c>
      <c r="M4" s="543" t="str">
        <f t="shared" ref="M4:M71" si="3">IF($K4=$V$3,$X$3,IF($K4=$V$4,$X$4,IF($K4=$V$5,$X$5,IF($K4=$V$6,$X$6,IF($K4=$V$7,$X$7)))))</f>
        <v>Same broad habitat or a higher distinctiveness habitat required (≥)</v>
      </c>
      <c r="N4" s="543" t="s">
        <v>162</v>
      </c>
      <c r="O4" s="543">
        <f t="shared" si="1"/>
        <v>1</v>
      </c>
      <c r="P4" s="543" t="s">
        <v>162</v>
      </c>
      <c r="Q4" s="543">
        <f t="shared" si="2"/>
        <v>1</v>
      </c>
      <c r="R4" s="519"/>
      <c r="S4" s="543"/>
      <c r="V4" s="543" t="s">
        <v>159</v>
      </c>
      <c r="W4" s="543">
        <v>6</v>
      </c>
      <c r="X4" s="622" t="s">
        <v>407</v>
      </c>
      <c r="Z4" s="543" t="s">
        <v>408</v>
      </c>
      <c r="AA4" s="543">
        <v>2.5</v>
      </c>
      <c r="AD4" s="214" t="s">
        <v>409</v>
      </c>
      <c r="AF4" s="216" t="s">
        <v>76</v>
      </c>
      <c r="AG4" s="216" t="s">
        <v>76</v>
      </c>
    </row>
    <row r="5" spans="1:33" ht="42.75" x14ac:dyDescent="0.2">
      <c r="A5" s="215" t="s">
        <v>410</v>
      </c>
      <c r="B5" s="119" t="s">
        <v>411</v>
      </c>
      <c r="C5" s="570" t="s">
        <v>412</v>
      </c>
      <c r="D5" s="543" t="s">
        <v>398</v>
      </c>
      <c r="E5" s="543"/>
      <c r="F5" s="519" t="s">
        <v>75</v>
      </c>
      <c r="G5" s="543"/>
      <c r="H5" s="519" t="s">
        <v>399</v>
      </c>
      <c r="I5" s="543"/>
      <c r="J5" s="543" t="s">
        <v>400</v>
      </c>
      <c r="K5" s="543" t="s">
        <v>29</v>
      </c>
      <c r="L5" s="543">
        <f t="shared" si="0"/>
        <v>4</v>
      </c>
      <c r="M5" s="543" t="str">
        <f t="shared" si="3"/>
        <v>Same broad habitat or a higher distinctiveness habitat required (≥)</v>
      </c>
      <c r="N5" s="543" t="s">
        <v>162</v>
      </c>
      <c r="O5" s="543">
        <f t="shared" si="1"/>
        <v>1</v>
      </c>
      <c r="P5" s="543" t="s">
        <v>162</v>
      </c>
      <c r="Q5" s="543">
        <f t="shared" si="2"/>
        <v>1</v>
      </c>
      <c r="R5" s="519"/>
      <c r="S5" s="543"/>
      <c r="V5" s="543" t="s">
        <v>29</v>
      </c>
      <c r="W5" s="543">
        <v>4</v>
      </c>
      <c r="X5" s="623" t="s">
        <v>161</v>
      </c>
      <c r="Z5" s="543" t="s">
        <v>26</v>
      </c>
      <c r="AA5" s="543">
        <v>2</v>
      </c>
      <c r="AF5" s="216" t="s">
        <v>77</v>
      </c>
      <c r="AG5" s="216" t="s">
        <v>413</v>
      </c>
    </row>
    <row r="6" spans="1:33" ht="28.5" x14ac:dyDescent="0.2">
      <c r="A6" s="215" t="s">
        <v>414</v>
      </c>
      <c r="B6" s="119" t="s">
        <v>415</v>
      </c>
      <c r="C6" s="543" t="s">
        <v>416</v>
      </c>
      <c r="D6" s="543" t="s">
        <v>398</v>
      </c>
      <c r="E6" s="543" t="s">
        <v>417</v>
      </c>
      <c r="F6" s="519" t="s">
        <v>75</v>
      </c>
      <c r="G6" s="543" t="s">
        <v>418</v>
      </c>
      <c r="H6" s="519" t="s">
        <v>399</v>
      </c>
      <c r="I6" s="543" t="s">
        <v>416</v>
      </c>
      <c r="J6" s="543" t="s">
        <v>400</v>
      </c>
      <c r="K6" s="543" t="s">
        <v>29</v>
      </c>
      <c r="L6" s="543">
        <f t="shared" si="0"/>
        <v>4</v>
      </c>
      <c r="M6" s="543" t="str">
        <f t="shared" si="3"/>
        <v>Same broad habitat or a higher distinctiveness habitat required (≥)</v>
      </c>
      <c r="N6" s="543" t="s">
        <v>162</v>
      </c>
      <c r="O6" s="543">
        <f t="shared" si="1"/>
        <v>1</v>
      </c>
      <c r="P6" s="543" t="s">
        <v>162</v>
      </c>
      <c r="Q6" s="543">
        <f t="shared" si="2"/>
        <v>1</v>
      </c>
      <c r="R6" s="519"/>
      <c r="S6" s="543"/>
      <c r="V6" s="543" t="s">
        <v>162</v>
      </c>
      <c r="W6" s="543">
        <v>2</v>
      </c>
      <c r="X6" s="624" t="s">
        <v>163</v>
      </c>
      <c r="Z6" s="543" t="s">
        <v>419</v>
      </c>
      <c r="AA6" s="543">
        <v>1.5</v>
      </c>
      <c r="AF6" s="216" t="s">
        <v>78</v>
      </c>
      <c r="AG6" s="216" t="s">
        <v>78</v>
      </c>
    </row>
    <row r="7" spans="1:33" ht="28.5" x14ac:dyDescent="0.2">
      <c r="A7" s="215" t="s">
        <v>420</v>
      </c>
      <c r="B7" s="119" t="s">
        <v>421</v>
      </c>
      <c r="C7" s="543" t="s">
        <v>422</v>
      </c>
      <c r="D7" s="543" t="s">
        <v>398</v>
      </c>
      <c r="E7" s="543"/>
      <c r="F7" s="519" t="s">
        <v>75</v>
      </c>
      <c r="G7" s="543"/>
      <c r="H7" s="519" t="s">
        <v>399</v>
      </c>
      <c r="I7" s="543" t="s">
        <v>422</v>
      </c>
      <c r="J7" s="543" t="s">
        <v>420</v>
      </c>
      <c r="K7" s="543" t="s">
        <v>162</v>
      </c>
      <c r="L7" s="543">
        <f t="shared" si="0"/>
        <v>2</v>
      </c>
      <c r="M7" s="543" t="str">
        <f t="shared" si="3"/>
        <v>Same distinctiveness or better habitat required ≥</v>
      </c>
      <c r="N7" s="543" t="s">
        <v>162</v>
      </c>
      <c r="O7" s="543">
        <f t="shared" si="1"/>
        <v>1</v>
      </c>
      <c r="P7" s="543" t="s">
        <v>162</v>
      </c>
      <c r="Q7" s="543">
        <f t="shared" si="2"/>
        <v>1</v>
      </c>
      <c r="R7" s="519"/>
      <c r="S7" s="543"/>
      <c r="V7" s="543" t="s">
        <v>423</v>
      </c>
      <c r="W7" s="543">
        <v>0</v>
      </c>
      <c r="X7" s="625" t="s">
        <v>424</v>
      </c>
      <c r="Z7" s="543" t="s">
        <v>233</v>
      </c>
      <c r="AA7" s="543">
        <v>1</v>
      </c>
      <c r="AF7" s="216" t="s">
        <v>79</v>
      </c>
      <c r="AG7" s="216" t="s">
        <v>425</v>
      </c>
    </row>
    <row r="8" spans="1:33" x14ac:dyDescent="0.2">
      <c r="A8" s="215" t="s">
        <v>426</v>
      </c>
      <c r="B8" s="119" t="s">
        <v>427</v>
      </c>
      <c r="C8" s="570" t="s">
        <v>428</v>
      </c>
      <c r="D8" s="543" t="s">
        <v>398</v>
      </c>
      <c r="E8" s="543"/>
      <c r="F8" s="519" t="s">
        <v>75</v>
      </c>
      <c r="G8" s="543"/>
      <c r="H8" s="519" t="s">
        <v>399</v>
      </c>
      <c r="I8" s="543"/>
      <c r="J8" s="543" t="s">
        <v>420</v>
      </c>
      <c r="K8" s="543" t="s">
        <v>162</v>
      </c>
      <c r="L8" s="543">
        <f t="shared" si="0"/>
        <v>2</v>
      </c>
      <c r="M8" s="543" t="str">
        <f t="shared" si="3"/>
        <v>Same distinctiveness or better habitat required ≥</v>
      </c>
      <c r="N8" s="543" t="s">
        <v>162</v>
      </c>
      <c r="O8" s="543">
        <f t="shared" si="1"/>
        <v>1</v>
      </c>
      <c r="P8" s="543" t="s">
        <v>162</v>
      </c>
      <c r="Q8" s="543">
        <f t="shared" si="2"/>
        <v>1</v>
      </c>
      <c r="R8" s="519"/>
      <c r="S8" s="543"/>
      <c r="Z8" s="543" t="s">
        <v>230</v>
      </c>
      <c r="AA8" s="543">
        <v>1</v>
      </c>
      <c r="AF8" s="653" t="s">
        <v>80</v>
      </c>
      <c r="AG8" s="653" t="s">
        <v>80</v>
      </c>
    </row>
    <row r="9" spans="1:33" x14ac:dyDescent="0.2">
      <c r="A9" s="215" t="s">
        <v>429</v>
      </c>
      <c r="B9" s="119" t="s">
        <v>430</v>
      </c>
      <c r="C9" s="543" t="s">
        <v>431</v>
      </c>
      <c r="D9" s="543" t="s">
        <v>398</v>
      </c>
      <c r="E9" s="543"/>
      <c r="F9" s="519" t="s">
        <v>75</v>
      </c>
      <c r="G9" s="543"/>
      <c r="H9" s="519" t="s">
        <v>399</v>
      </c>
      <c r="I9" s="543" t="s">
        <v>431</v>
      </c>
      <c r="J9" s="543" t="s">
        <v>429</v>
      </c>
      <c r="K9" s="543" t="s">
        <v>162</v>
      </c>
      <c r="L9" s="543">
        <f t="shared" ref="L9:L48" si="4">IF(K9=$V$3,$W$3,IF(K9=$V$3,$W$3,IF(K9=$V$4,$W$4,IF(K9=$V$5,$W$5,IF(K9=$V$6,$W$6,IF(K9=$V$7,$W$7))))))</f>
        <v>2</v>
      </c>
      <c r="M9" s="543" t="str">
        <f t="shared" si="3"/>
        <v>Same distinctiveness or better habitat required ≥</v>
      </c>
      <c r="N9" s="543" t="s">
        <v>162</v>
      </c>
      <c r="O9" s="543">
        <f t="shared" si="1"/>
        <v>1</v>
      </c>
      <c r="P9" s="543" t="s">
        <v>162</v>
      </c>
      <c r="Q9" s="543">
        <f t="shared" si="2"/>
        <v>1</v>
      </c>
      <c r="R9" s="519"/>
      <c r="S9" s="543"/>
      <c r="Z9" s="543" t="s">
        <v>241</v>
      </c>
      <c r="AA9" s="543">
        <v>0</v>
      </c>
      <c r="AF9" s="216" t="s">
        <v>81</v>
      </c>
      <c r="AG9" s="216" t="s">
        <v>81</v>
      </c>
    </row>
    <row r="10" spans="1:33" x14ac:dyDescent="0.2">
      <c r="A10" s="215" t="s">
        <v>432</v>
      </c>
      <c r="B10" s="119" t="s">
        <v>433</v>
      </c>
      <c r="C10" s="543" t="s">
        <v>434</v>
      </c>
      <c r="D10" s="543" t="s">
        <v>398</v>
      </c>
      <c r="E10" s="543"/>
      <c r="F10" s="519" t="s">
        <v>75</v>
      </c>
      <c r="G10" s="543"/>
      <c r="H10" s="519" t="s">
        <v>399</v>
      </c>
      <c r="I10" s="543" t="s">
        <v>434</v>
      </c>
      <c r="J10" s="543" t="s">
        <v>432</v>
      </c>
      <c r="K10" s="543" t="s">
        <v>162</v>
      </c>
      <c r="L10" s="543">
        <f t="shared" si="4"/>
        <v>2</v>
      </c>
      <c r="M10" s="543" t="str">
        <f t="shared" si="3"/>
        <v>Same distinctiveness or better habitat required ≥</v>
      </c>
      <c r="N10" s="543" t="s">
        <v>162</v>
      </c>
      <c r="O10" s="543">
        <f t="shared" si="1"/>
        <v>1</v>
      </c>
      <c r="P10" s="543" t="s">
        <v>162</v>
      </c>
      <c r="Q10" s="543">
        <f t="shared" si="2"/>
        <v>1</v>
      </c>
      <c r="R10" s="519"/>
      <c r="S10" s="543"/>
      <c r="AF10" s="216" t="s">
        <v>82</v>
      </c>
      <c r="AG10" s="216" t="s">
        <v>435</v>
      </c>
    </row>
    <row r="11" spans="1:33" x14ac:dyDescent="0.2">
      <c r="A11" s="215" t="s">
        <v>436</v>
      </c>
      <c r="B11" s="119" t="s">
        <v>437</v>
      </c>
      <c r="C11" s="543" t="s">
        <v>438</v>
      </c>
      <c r="D11" s="543" t="s">
        <v>398</v>
      </c>
      <c r="E11" s="543"/>
      <c r="F11" s="519" t="s">
        <v>75</v>
      </c>
      <c r="G11" s="543"/>
      <c r="H11" s="519" t="s">
        <v>399</v>
      </c>
      <c r="I11" s="543" t="s">
        <v>438</v>
      </c>
      <c r="J11" s="543" t="s">
        <v>436</v>
      </c>
      <c r="K11" s="543" t="s">
        <v>162</v>
      </c>
      <c r="L11" s="543">
        <f t="shared" si="4"/>
        <v>2</v>
      </c>
      <c r="M11" s="543" t="str">
        <f t="shared" si="3"/>
        <v>Same distinctiveness or better habitat required ≥</v>
      </c>
      <c r="N11" s="543" t="s">
        <v>162</v>
      </c>
      <c r="O11" s="543">
        <f t="shared" si="1"/>
        <v>1</v>
      </c>
      <c r="P11" s="543" t="s">
        <v>162</v>
      </c>
      <c r="Q11" s="543">
        <f t="shared" si="2"/>
        <v>1</v>
      </c>
      <c r="R11" s="519"/>
      <c r="S11" s="543"/>
      <c r="AF11" s="216" t="s">
        <v>86</v>
      </c>
      <c r="AG11" s="216" t="s">
        <v>439</v>
      </c>
    </row>
    <row r="12" spans="1:33" ht="15" thickBot="1" x14ac:dyDescent="0.25">
      <c r="A12" s="215" t="s">
        <v>440</v>
      </c>
      <c r="B12" s="217" t="s">
        <v>441</v>
      </c>
      <c r="C12" s="525" t="s">
        <v>442</v>
      </c>
      <c r="D12" s="525" t="s">
        <v>398</v>
      </c>
      <c r="E12" s="525"/>
      <c r="F12" s="507" t="s">
        <v>75</v>
      </c>
      <c r="G12" s="525"/>
      <c r="H12" s="507" t="s">
        <v>399</v>
      </c>
      <c r="I12" s="525" t="s">
        <v>442</v>
      </c>
      <c r="J12" s="525" t="s">
        <v>440</v>
      </c>
      <c r="K12" s="525" t="s">
        <v>162</v>
      </c>
      <c r="L12" s="525">
        <f t="shared" si="4"/>
        <v>2</v>
      </c>
      <c r="M12" s="525" t="str">
        <f t="shared" si="3"/>
        <v>Same distinctiveness or better habitat required ≥</v>
      </c>
      <c r="N12" s="525" t="s">
        <v>162</v>
      </c>
      <c r="O12" s="525">
        <f t="shared" si="1"/>
        <v>1</v>
      </c>
      <c r="P12" s="525" t="s">
        <v>162</v>
      </c>
      <c r="Q12" s="525">
        <f t="shared" si="2"/>
        <v>1</v>
      </c>
      <c r="R12" s="507"/>
      <c r="S12" s="525"/>
      <c r="AF12" s="216" t="s">
        <v>85</v>
      </c>
      <c r="AG12" s="216" t="s">
        <v>443</v>
      </c>
    </row>
    <row r="13" spans="1:33" x14ac:dyDescent="0.2">
      <c r="A13" s="215" t="s">
        <v>266</v>
      </c>
      <c r="B13" s="218" t="s">
        <v>444</v>
      </c>
      <c r="C13" s="520">
        <v>21</v>
      </c>
      <c r="D13" s="520" t="s">
        <v>398</v>
      </c>
      <c r="E13" s="520"/>
      <c r="F13" s="519" t="s">
        <v>76</v>
      </c>
      <c r="G13" s="520"/>
      <c r="H13" s="506" t="s">
        <v>266</v>
      </c>
      <c r="I13" s="520"/>
      <c r="J13" s="520" t="s">
        <v>266</v>
      </c>
      <c r="K13" s="520" t="s">
        <v>159</v>
      </c>
      <c r="L13" s="520">
        <f t="shared" si="4"/>
        <v>6</v>
      </c>
      <c r="M13" s="520" t="str">
        <f t="shared" si="3"/>
        <v>Same habitat required =</v>
      </c>
      <c r="N13" s="520" t="s">
        <v>162</v>
      </c>
      <c r="O13" s="520">
        <f t="shared" si="1"/>
        <v>1</v>
      </c>
      <c r="P13" s="520" t="s">
        <v>29</v>
      </c>
      <c r="Q13" s="520">
        <f t="shared" si="2"/>
        <v>0.67</v>
      </c>
      <c r="R13" s="506"/>
      <c r="S13" s="520"/>
      <c r="AF13" s="216" t="s">
        <v>84</v>
      </c>
      <c r="AG13" s="216" t="s">
        <v>445</v>
      </c>
    </row>
    <row r="14" spans="1:33" x14ac:dyDescent="0.2">
      <c r="A14" s="215" t="s">
        <v>229</v>
      </c>
      <c r="B14" s="119" t="s">
        <v>446</v>
      </c>
      <c r="C14" s="543" t="s">
        <v>447</v>
      </c>
      <c r="D14" s="543" t="s">
        <v>398</v>
      </c>
      <c r="E14" s="543"/>
      <c r="F14" s="519" t="s">
        <v>76</v>
      </c>
      <c r="G14" s="543"/>
      <c r="H14" s="519" t="s">
        <v>448</v>
      </c>
      <c r="I14" s="543" t="s">
        <v>447</v>
      </c>
      <c r="J14" s="543" t="s">
        <v>229</v>
      </c>
      <c r="K14" s="543" t="s">
        <v>162</v>
      </c>
      <c r="L14" s="543">
        <f t="shared" si="4"/>
        <v>2</v>
      </c>
      <c r="M14" s="543" t="str">
        <f t="shared" si="3"/>
        <v>Same distinctiveness or better habitat required ≥</v>
      </c>
      <c r="N14" s="543" t="s">
        <v>162</v>
      </c>
      <c r="O14" s="543">
        <f t="shared" si="1"/>
        <v>1</v>
      </c>
      <c r="P14" s="543" t="s">
        <v>162</v>
      </c>
      <c r="Q14" s="543">
        <f t="shared" si="2"/>
        <v>1</v>
      </c>
      <c r="R14" s="519"/>
      <c r="S14" s="543"/>
      <c r="AF14" s="216" t="s">
        <v>83</v>
      </c>
      <c r="AG14" s="216" t="s">
        <v>449</v>
      </c>
    </row>
    <row r="15" spans="1:33" x14ac:dyDescent="0.2">
      <c r="A15" s="215" t="s">
        <v>450</v>
      </c>
      <c r="B15" s="119" t="s">
        <v>451</v>
      </c>
      <c r="C15" s="543" t="s">
        <v>452</v>
      </c>
      <c r="D15" s="543" t="s">
        <v>398</v>
      </c>
      <c r="E15" s="543"/>
      <c r="F15" s="519" t="s">
        <v>76</v>
      </c>
      <c r="G15" s="543"/>
      <c r="H15" s="519" t="s">
        <v>453</v>
      </c>
      <c r="I15" s="543"/>
      <c r="J15" s="543" t="s">
        <v>453</v>
      </c>
      <c r="K15" s="543" t="s">
        <v>159</v>
      </c>
      <c r="L15" s="543">
        <f t="shared" si="4"/>
        <v>6</v>
      </c>
      <c r="M15" s="543" t="str">
        <f t="shared" si="3"/>
        <v>Same habitat required =</v>
      </c>
      <c r="N15" s="543" t="s">
        <v>159</v>
      </c>
      <c r="O15" s="543">
        <f t="shared" si="1"/>
        <v>0.33</v>
      </c>
      <c r="P15" s="543" t="s">
        <v>29</v>
      </c>
      <c r="Q15" s="543">
        <f t="shared" si="2"/>
        <v>0.67</v>
      </c>
      <c r="R15" s="519"/>
      <c r="S15" s="543"/>
      <c r="AF15" s="216" t="s">
        <v>87</v>
      </c>
      <c r="AG15" s="216" t="s">
        <v>454</v>
      </c>
    </row>
    <row r="16" spans="1:33" x14ac:dyDescent="0.2">
      <c r="A16" s="215" t="s">
        <v>232</v>
      </c>
      <c r="B16" s="119" t="s">
        <v>455</v>
      </c>
      <c r="C16" s="543" t="s">
        <v>456</v>
      </c>
      <c r="D16" s="543" t="s">
        <v>398</v>
      </c>
      <c r="E16" s="543"/>
      <c r="F16" s="519" t="s">
        <v>76</v>
      </c>
      <c r="G16" s="543" t="s">
        <v>457</v>
      </c>
      <c r="H16" s="519" t="s">
        <v>458</v>
      </c>
      <c r="I16" s="543" t="s">
        <v>456</v>
      </c>
      <c r="J16" s="571" t="s">
        <v>232</v>
      </c>
      <c r="K16" s="543" t="s">
        <v>159</v>
      </c>
      <c r="L16" s="543">
        <f t="shared" si="4"/>
        <v>6</v>
      </c>
      <c r="M16" s="543" t="str">
        <f t="shared" si="3"/>
        <v>Same habitat required =</v>
      </c>
      <c r="N16" s="543" t="s">
        <v>159</v>
      </c>
      <c r="O16" s="543">
        <f t="shared" si="1"/>
        <v>0.33</v>
      </c>
      <c r="P16" s="543" t="s">
        <v>159</v>
      </c>
      <c r="Q16" s="543">
        <f t="shared" si="2"/>
        <v>0.33</v>
      </c>
      <c r="R16" s="519"/>
      <c r="S16" s="543"/>
    </row>
    <row r="17" spans="1:19" x14ac:dyDescent="0.2">
      <c r="A17" s="215" t="s">
        <v>459</v>
      </c>
      <c r="B17" s="119" t="s">
        <v>460</v>
      </c>
      <c r="C17" s="543" t="s">
        <v>461</v>
      </c>
      <c r="D17" s="543" t="s">
        <v>398</v>
      </c>
      <c r="E17" s="543" t="s">
        <v>462</v>
      </c>
      <c r="F17" s="519" t="s">
        <v>76</v>
      </c>
      <c r="G17" s="543" t="s">
        <v>463</v>
      </c>
      <c r="H17" s="519" t="s">
        <v>448</v>
      </c>
      <c r="I17" s="543" t="s">
        <v>461</v>
      </c>
      <c r="J17" s="571" t="s">
        <v>459</v>
      </c>
      <c r="K17" s="543" t="s">
        <v>401</v>
      </c>
      <c r="L17" s="543">
        <f t="shared" si="4"/>
        <v>8</v>
      </c>
      <c r="M17" s="543" t="str">
        <f t="shared" si="3"/>
        <v>Bespoke compensation likely to be required 🛠</v>
      </c>
      <c r="N17" s="543" t="s">
        <v>159</v>
      </c>
      <c r="O17" s="543">
        <f t="shared" si="1"/>
        <v>0.33</v>
      </c>
      <c r="P17" s="543" t="s">
        <v>159</v>
      </c>
      <c r="Q17" s="543">
        <f t="shared" si="2"/>
        <v>0.33</v>
      </c>
      <c r="R17" s="519"/>
      <c r="S17" s="543"/>
    </row>
    <row r="18" spans="1:19" x14ac:dyDescent="0.2">
      <c r="A18" s="215" t="s">
        <v>464</v>
      </c>
      <c r="B18" s="119" t="s">
        <v>465</v>
      </c>
      <c r="C18" s="543" t="s">
        <v>466</v>
      </c>
      <c r="D18" s="543" t="s">
        <v>398</v>
      </c>
      <c r="E18" s="543"/>
      <c r="F18" s="519" t="s">
        <v>76</v>
      </c>
      <c r="G18" s="543" t="s">
        <v>467</v>
      </c>
      <c r="H18" s="519" t="s">
        <v>468</v>
      </c>
      <c r="I18" s="543" t="s">
        <v>466</v>
      </c>
      <c r="J18" s="571" t="s">
        <v>464</v>
      </c>
      <c r="K18" s="543" t="s">
        <v>401</v>
      </c>
      <c r="L18" s="543">
        <f t="shared" si="4"/>
        <v>8</v>
      </c>
      <c r="M18" s="543" t="str">
        <f t="shared" si="3"/>
        <v>Bespoke compensation likely to be required 🛠</v>
      </c>
      <c r="N18" s="543" t="s">
        <v>159</v>
      </c>
      <c r="O18" s="543">
        <f t="shared" si="1"/>
        <v>0.33</v>
      </c>
      <c r="P18" s="543" t="s">
        <v>29</v>
      </c>
      <c r="Q18" s="543">
        <f t="shared" si="2"/>
        <v>0.67</v>
      </c>
      <c r="R18" s="519"/>
      <c r="S18" s="543"/>
    </row>
    <row r="19" spans="1:19" x14ac:dyDescent="0.2">
      <c r="A19" s="215" t="s">
        <v>234</v>
      </c>
      <c r="B19" s="119" t="s">
        <v>469</v>
      </c>
      <c r="C19" s="543" t="s">
        <v>470</v>
      </c>
      <c r="D19" s="543" t="s">
        <v>398</v>
      </c>
      <c r="E19" s="543"/>
      <c r="F19" s="519" t="s">
        <v>76</v>
      </c>
      <c r="G19" s="543" t="s">
        <v>470</v>
      </c>
      <c r="H19" s="519" t="s">
        <v>234</v>
      </c>
      <c r="I19" s="519" t="s">
        <v>471</v>
      </c>
      <c r="J19" s="572" t="s">
        <v>234</v>
      </c>
      <c r="K19" s="543" t="s">
        <v>162</v>
      </c>
      <c r="L19" s="543">
        <f t="shared" si="4"/>
        <v>2</v>
      </c>
      <c r="M19" s="573" t="str">
        <f t="shared" si="3"/>
        <v>Same distinctiveness or better habitat required ≥</v>
      </c>
      <c r="N19" s="543" t="s">
        <v>162</v>
      </c>
      <c r="O19" s="543">
        <f t="shared" si="1"/>
        <v>1</v>
      </c>
      <c r="P19" s="543" t="s">
        <v>162</v>
      </c>
      <c r="Q19" s="543">
        <f t="shared" si="2"/>
        <v>1</v>
      </c>
      <c r="R19" s="519"/>
      <c r="S19" s="543"/>
    </row>
    <row r="20" spans="1:19" x14ac:dyDescent="0.2">
      <c r="A20" s="215" t="s">
        <v>235</v>
      </c>
      <c r="B20" s="119" t="s">
        <v>472</v>
      </c>
      <c r="C20" s="543" t="s">
        <v>473</v>
      </c>
      <c r="D20" s="543" t="s">
        <v>398</v>
      </c>
      <c r="E20" s="543"/>
      <c r="F20" s="519" t="s">
        <v>76</v>
      </c>
      <c r="G20" s="543"/>
      <c r="H20" s="519" t="s">
        <v>448</v>
      </c>
      <c r="I20" s="543" t="s">
        <v>473</v>
      </c>
      <c r="J20" s="543" t="s">
        <v>235</v>
      </c>
      <c r="K20" s="543" t="s">
        <v>29</v>
      </c>
      <c r="L20" s="543">
        <f t="shared" si="4"/>
        <v>4</v>
      </c>
      <c r="M20" s="543" t="str">
        <f t="shared" si="3"/>
        <v>Same broad habitat or a higher distinctiveness habitat required (≥)</v>
      </c>
      <c r="N20" s="543" t="s">
        <v>162</v>
      </c>
      <c r="O20" s="543">
        <f t="shared" si="1"/>
        <v>1</v>
      </c>
      <c r="P20" s="543" t="s">
        <v>162</v>
      </c>
      <c r="Q20" s="543">
        <f t="shared" si="2"/>
        <v>1</v>
      </c>
      <c r="R20" s="519"/>
      <c r="S20" s="543"/>
    </row>
    <row r="21" spans="1:19" x14ac:dyDescent="0.2">
      <c r="A21" s="215" t="s">
        <v>236</v>
      </c>
      <c r="B21" s="119" t="s">
        <v>474</v>
      </c>
      <c r="C21" s="543" t="s">
        <v>475</v>
      </c>
      <c r="D21" s="543" t="s">
        <v>398</v>
      </c>
      <c r="E21" s="543"/>
      <c r="F21" s="519" t="s">
        <v>76</v>
      </c>
      <c r="G21" s="543"/>
      <c r="H21" s="519" t="s">
        <v>468</v>
      </c>
      <c r="I21" s="543" t="s">
        <v>475</v>
      </c>
      <c r="J21" s="543" t="s">
        <v>236</v>
      </c>
      <c r="K21" s="543" t="s">
        <v>29</v>
      </c>
      <c r="L21" s="543">
        <f t="shared" si="4"/>
        <v>4</v>
      </c>
      <c r="M21" s="543" t="str">
        <f t="shared" si="3"/>
        <v>Same broad habitat or a higher distinctiveness habitat required (≥)</v>
      </c>
      <c r="N21" s="543" t="s">
        <v>162</v>
      </c>
      <c r="O21" s="543">
        <f t="shared" si="1"/>
        <v>1</v>
      </c>
      <c r="P21" s="543" t="s">
        <v>162</v>
      </c>
      <c r="Q21" s="543">
        <f t="shared" si="2"/>
        <v>1</v>
      </c>
      <c r="R21" s="519"/>
      <c r="S21" s="543"/>
    </row>
    <row r="22" spans="1:19" x14ac:dyDescent="0.2">
      <c r="A22" s="215" t="s">
        <v>476</v>
      </c>
      <c r="B22" s="119" t="s">
        <v>477</v>
      </c>
      <c r="C22" s="543" t="s">
        <v>478</v>
      </c>
      <c r="D22" s="543" t="s">
        <v>398</v>
      </c>
      <c r="E22" s="543"/>
      <c r="F22" s="519" t="s">
        <v>76</v>
      </c>
      <c r="G22" s="543" t="s">
        <v>479</v>
      </c>
      <c r="H22" s="519" t="s">
        <v>480</v>
      </c>
      <c r="I22" s="519"/>
      <c r="J22" s="543" t="s">
        <v>476</v>
      </c>
      <c r="K22" s="543" t="s">
        <v>159</v>
      </c>
      <c r="L22" s="543">
        <f t="shared" si="4"/>
        <v>6</v>
      </c>
      <c r="M22" s="543" t="str">
        <f t="shared" si="3"/>
        <v>Same habitat required =</v>
      </c>
      <c r="N22" s="543" t="s">
        <v>159</v>
      </c>
      <c r="O22" s="543">
        <f t="shared" si="1"/>
        <v>0.33</v>
      </c>
      <c r="P22" s="543" t="s">
        <v>159</v>
      </c>
      <c r="Q22" s="543">
        <f t="shared" si="2"/>
        <v>0.33</v>
      </c>
      <c r="R22" s="519"/>
      <c r="S22" s="543"/>
    </row>
    <row r="23" spans="1:19" x14ac:dyDescent="0.2">
      <c r="A23" s="215" t="s">
        <v>481</v>
      </c>
      <c r="B23" s="119" t="s">
        <v>482</v>
      </c>
      <c r="C23" s="543" t="s">
        <v>483</v>
      </c>
      <c r="D23" s="543" t="s">
        <v>398</v>
      </c>
      <c r="E23" s="543"/>
      <c r="F23" s="519" t="s">
        <v>76</v>
      </c>
      <c r="G23" s="543"/>
      <c r="H23" s="519" t="s">
        <v>448</v>
      </c>
      <c r="I23" s="543" t="s">
        <v>483</v>
      </c>
      <c r="J23" s="571" t="s">
        <v>481</v>
      </c>
      <c r="K23" s="543" t="s">
        <v>29</v>
      </c>
      <c r="L23" s="543">
        <f t="shared" si="4"/>
        <v>4</v>
      </c>
      <c r="M23" s="543" t="str">
        <f t="shared" si="3"/>
        <v>Same broad habitat or a higher distinctiveness habitat required (≥)</v>
      </c>
      <c r="N23" s="543" t="s">
        <v>162</v>
      </c>
      <c r="O23" s="543">
        <f t="shared" si="1"/>
        <v>1</v>
      </c>
      <c r="P23" s="543" t="s">
        <v>162</v>
      </c>
      <c r="Q23" s="543">
        <f t="shared" si="2"/>
        <v>1</v>
      </c>
      <c r="R23" s="519"/>
      <c r="S23" s="543"/>
    </row>
    <row r="24" spans="1:19" x14ac:dyDescent="0.2">
      <c r="A24" s="215" t="s">
        <v>484</v>
      </c>
      <c r="B24" s="119" t="s">
        <v>485</v>
      </c>
      <c r="C24" s="543" t="s">
        <v>486</v>
      </c>
      <c r="D24" s="543" t="s">
        <v>398</v>
      </c>
      <c r="E24" s="543"/>
      <c r="F24" s="519" t="s">
        <v>76</v>
      </c>
      <c r="G24" s="543"/>
      <c r="H24" s="519" t="s">
        <v>458</v>
      </c>
      <c r="I24" s="543" t="s">
        <v>486</v>
      </c>
      <c r="J24" s="571" t="s">
        <v>484</v>
      </c>
      <c r="K24" s="543" t="s">
        <v>159</v>
      </c>
      <c r="L24" s="543">
        <f t="shared" si="4"/>
        <v>6</v>
      </c>
      <c r="M24" s="543" t="str">
        <f t="shared" si="3"/>
        <v>Same habitat required =</v>
      </c>
      <c r="N24" s="543" t="s">
        <v>159</v>
      </c>
      <c r="O24" s="543">
        <f t="shared" si="1"/>
        <v>0.33</v>
      </c>
      <c r="P24" s="543" t="s">
        <v>159</v>
      </c>
      <c r="Q24" s="543">
        <f t="shared" si="2"/>
        <v>0.33</v>
      </c>
      <c r="R24" s="519"/>
      <c r="S24" s="543"/>
    </row>
    <row r="25" spans="1:19" ht="15" thickBot="1" x14ac:dyDescent="0.25">
      <c r="A25" s="215" t="s">
        <v>487</v>
      </c>
      <c r="B25" s="217" t="s">
        <v>488</v>
      </c>
      <c r="C25" s="525" t="s">
        <v>489</v>
      </c>
      <c r="D25" s="525" t="s">
        <v>398</v>
      </c>
      <c r="E25" s="525"/>
      <c r="F25" s="507" t="s">
        <v>76</v>
      </c>
      <c r="G25" s="525"/>
      <c r="H25" s="507" t="s">
        <v>468</v>
      </c>
      <c r="I25" s="525" t="s">
        <v>489</v>
      </c>
      <c r="J25" s="574" t="s">
        <v>487</v>
      </c>
      <c r="K25" s="525" t="s">
        <v>401</v>
      </c>
      <c r="L25" s="525">
        <f t="shared" si="4"/>
        <v>8</v>
      </c>
      <c r="M25" s="525" t="str">
        <f t="shared" si="3"/>
        <v>Bespoke compensation likely to be required 🛠</v>
      </c>
      <c r="N25" s="525" t="s">
        <v>159</v>
      </c>
      <c r="O25" s="525">
        <f t="shared" si="1"/>
        <v>0.33</v>
      </c>
      <c r="P25" s="525" t="s">
        <v>29</v>
      </c>
      <c r="Q25" s="525">
        <f t="shared" si="2"/>
        <v>0.67</v>
      </c>
      <c r="R25" s="507"/>
      <c r="S25" s="525"/>
    </row>
    <row r="26" spans="1:19" x14ac:dyDescent="0.2">
      <c r="A26" s="215" t="s">
        <v>490</v>
      </c>
      <c r="B26" s="218" t="s">
        <v>491</v>
      </c>
      <c r="C26" s="520" t="s">
        <v>492</v>
      </c>
      <c r="D26" s="520" t="s">
        <v>398</v>
      </c>
      <c r="E26" s="520"/>
      <c r="F26" s="506" t="s">
        <v>77</v>
      </c>
      <c r="G26" s="520" t="s">
        <v>493</v>
      </c>
      <c r="H26" s="506" t="s">
        <v>494</v>
      </c>
      <c r="I26" s="520" t="s">
        <v>492</v>
      </c>
      <c r="J26" s="520" t="s">
        <v>490</v>
      </c>
      <c r="K26" s="520" t="s">
        <v>29</v>
      </c>
      <c r="L26" s="520">
        <f t="shared" si="4"/>
        <v>4</v>
      </c>
      <c r="M26" s="520" t="str">
        <f t="shared" si="3"/>
        <v>Same broad habitat or a higher distinctiveness habitat required (≥)</v>
      </c>
      <c r="N26" s="520" t="s">
        <v>162</v>
      </c>
      <c r="O26" s="520">
        <f t="shared" si="1"/>
        <v>1</v>
      </c>
      <c r="P26" s="520" t="s">
        <v>162</v>
      </c>
      <c r="Q26" s="520">
        <f t="shared" si="2"/>
        <v>1</v>
      </c>
      <c r="R26" s="506"/>
      <c r="S26" s="520"/>
    </row>
    <row r="27" spans="1:19" x14ac:dyDescent="0.2">
      <c r="A27" s="215" t="s">
        <v>237</v>
      </c>
      <c r="B27" s="119" t="s">
        <v>495</v>
      </c>
      <c r="C27" s="543" t="s">
        <v>496</v>
      </c>
      <c r="D27" s="543" t="s">
        <v>398</v>
      </c>
      <c r="E27" s="543"/>
      <c r="F27" s="519" t="s">
        <v>77</v>
      </c>
      <c r="G27" s="543"/>
      <c r="H27" s="519" t="s">
        <v>494</v>
      </c>
      <c r="I27" s="543" t="s">
        <v>496</v>
      </c>
      <c r="J27" s="543" t="s">
        <v>237</v>
      </c>
      <c r="K27" s="543" t="s">
        <v>29</v>
      </c>
      <c r="L27" s="543">
        <f t="shared" si="4"/>
        <v>4</v>
      </c>
      <c r="M27" s="543" t="str">
        <f t="shared" si="3"/>
        <v>Same broad habitat or a higher distinctiveness habitat required (≥)</v>
      </c>
      <c r="N27" s="543" t="s">
        <v>162</v>
      </c>
      <c r="O27" s="543">
        <f t="shared" si="1"/>
        <v>1</v>
      </c>
      <c r="P27" s="543" t="s">
        <v>162</v>
      </c>
      <c r="Q27" s="543">
        <f t="shared" si="2"/>
        <v>1</v>
      </c>
      <c r="R27" s="519"/>
      <c r="S27" s="543"/>
    </row>
    <row r="28" spans="1:19" x14ac:dyDescent="0.2">
      <c r="A28" s="215" t="s">
        <v>497</v>
      </c>
      <c r="B28" s="119" t="s">
        <v>498</v>
      </c>
      <c r="C28" s="543" t="s">
        <v>499</v>
      </c>
      <c r="D28" s="543" t="s">
        <v>398</v>
      </c>
      <c r="E28" s="543"/>
      <c r="F28" s="519" t="s">
        <v>77</v>
      </c>
      <c r="G28" s="543"/>
      <c r="H28" s="519" t="s">
        <v>494</v>
      </c>
      <c r="I28" s="543" t="s">
        <v>499</v>
      </c>
      <c r="J28" s="543" t="s">
        <v>497</v>
      </c>
      <c r="K28" s="543" t="s">
        <v>29</v>
      </c>
      <c r="L28" s="543">
        <f t="shared" si="4"/>
        <v>4</v>
      </c>
      <c r="M28" s="543" t="str">
        <f t="shared" si="3"/>
        <v>Same broad habitat or a higher distinctiveness habitat required (≥)</v>
      </c>
      <c r="N28" s="543" t="s">
        <v>162</v>
      </c>
      <c r="O28" s="543">
        <f t="shared" si="1"/>
        <v>1</v>
      </c>
      <c r="P28" s="543" t="s">
        <v>162</v>
      </c>
      <c r="Q28" s="543">
        <f t="shared" si="2"/>
        <v>1</v>
      </c>
      <c r="R28" s="519"/>
      <c r="S28" s="543"/>
    </row>
    <row r="29" spans="1:19" x14ac:dyDescent="0.2">
      <c r="A29" s="215" t="s">
        <v>500</v>
      </c>
      <c r="B29" s="119" t="s">
        <v>501</v>
      </c>
      <c r="C29" s="543" t="s">
        <v>502</v>
      </c>
      <c r="D29" s="543" t="s">
        <v>398</v>
      </c>
      <c r="E29" s="543"/>
      <c r="F29" s="519" t="s">
        <v>77</v>
      </c>
      <c r="G29" s="543"/>
      <c r="H29" s="519" t="s">
        <v>494</v>
      </c>
      <c r="I29" s="543" t="s">
        <v>502</v>
      </c>
      <c r="J29" s="543" t="s">
        <v>500</v>
      </c>
      <c r="K29" s="543" t="s">
        <v>29</v>
      </c>
      <c r="L29" s="543">
        <f t="shared" si="4"/>
        <v>4</v>
      </c>
      <c r="M29" s="543" t="str">
        <f t="shared" si="3"/>
        <v>Same broad habitat or a higher distinctiveness habitat required (≥)</v>
      </c>
      <c r="N29" s="543" t="s">
        <v>162</v>
      </c>
      <c r="O29" s="543">
        <f t="shared" si="1"/>
        <v>1</v>
      </c>
      <c r="P29" s="543" t="s">
        <v>162</v>
      </c>
      <c r="Q29" s="543">
        <f t="shared" si="2"/>
        <v>1</v>
      </c>
      <c r="R29" s="519"/>
      <c r="S29" s="543"/>
    </row>
    <row r="30" spans="1:19" x14ac:dyDescent="0.2">
      <c r="A30" s="215" t="s">
        <v>503</v>
      </c>
      <c r="B30" s="119" t="s">
        <v>504</v>
      </c>
      <c r="C30" s="543" t="s">
        <v>505</v>
      </c>
      <c r="D30" s="543" t="s">
        <v>398</v>
      </c>
      <c r="E30" s="543"/>
      <c r="F30" s="519" t="s">
        <v>77</v>
      </c>
      <c r="G30" s="543"/>
      <c r="H30" s="519" t="s">
        <v>494</v>
      </c>
      <c r="I30" s="543" t="s">
        <v>505</v>
      </c>
      <c r="J30" s="543" t="s">
        <v>503</v>
      </c>
      <c r="K30" s="543" t="s">
        <v>29</v>
      </c>
      <c r="L30" s="543">
        <f t="shared" si="4"/>
        <v>4</v>
      </c>
      <c r="M30" s="543" t="str">
        <f t="shared" si="3"/>
        <v>Same broad habitat or a higher distinctiveness habitat required (≥)</v>
      </c>
      <c r="N30" s="543" t="s">
        <v>162</v>
      </c>
      <c r="O30" s="543">
        <f t="shared" si="1"/>
        <v>1</v>
      </c>
      <c r="P30" s="543" t="s">
        <v>162</v>
      </c>
      <c r="Q30" s="543">
        <f t="shared" si="2"/>
        <v>1</v>
      </c>
      <c r="R30" s="519"/>
      <c r="S30" s="543"/>
    </row>
    <row r="31" spans="1:19" x14ac:dyDescent="0.2">
      <c r="A31" s="215" t="s">
        <v>506</v>
      </c>
      <c r="B31" s="119" t="s">
        <v>507</v>
      </c>
      <c r="C31" s="543" t="s">
        <v>508</v>
      </c>
      <c r="D31" s="543" t="s">
        <v>398</v>
      </c>
      <c r="E31" s="543" t="s">
        <v>509</v>
      </c>
      <c r="F31" s="519" t="s">
        <v>77</v>
      </c>
      <c r="G31" s="543" t="s">
        <v>510</v>
      </c>
      <c r="H31" s="519" t="s">
        <v>511</v>
      </c>
      <c r="I31" s="543" t="s">
        <v>508</v>
      </c>
      <c r="J31" s="571" t="s">
        <v>506</v>
      </c>
      <c r="K31" s="543" t="s">
        <v>159</v>
      </c>
      <c r="L31" s="543">
        <f t="shared" si="4"/>
        <v>6</v>
      </c>
      <c r="M31" s="543" t="str">
        <f t="shared" si="3"/>
        <v>Same habitat required =</v>
      </c>
      <c r="N31" s="543" t="s">
        <v>159</v>
      </c>
      <c r="O31" s="543">
        <f t="shared" si="1"/>
        <v>0.33</v>
      </c>
      <c r="P31" s="543" t="s">
        <v>29</v>
      </c>
      <c r="Q31" s="543">
        <f t="shared" si="2"/>
        <v>0.67</v>
      </c>
      <c r="R31" s="519"/>
      <c r="S31" s="543"/>
    </row>
    <row r="32" spans="1:19" ht="28.5" x14ac:dyDescent="0.2">
      <c r="A32" s="215" t="s">
        <v>238</v>
      </c>
      <c r="B32" s="119" t="s">
        <v>512</v>
      </c>
      <c r="C32" s="543" t="s">
        <v>513</v>
      </c>
      <c r="D32" s="543" t="s">
        <v>398</v>
      </c>
      <c r="E32" s="543"/>
      <c r="F32" s="519" t="s">
        <v>77</v>
      </c>
      <c r="G32" s="543"/>
      <c r="H32" s="519" t="s">
        <v>494</v>
      </c>
      <c r="I32" s="543" t="s">
        <v>513</v>
      </c>
      <c r="J32" s="543" t="s">
        <v>238</v>
      </c>
      <c r="K32" s="543" t="s">
        <v>29</v>
      </c>
      <c r="L32" s="543">
        <f t="shared" si="4"/>
        <v>4</v>
      </c>
      <c r="M32" s="543" t="str">
        <f t="shared" si="3"/>
        <v>Same broad habitat or a higher distinctiveness habitat required (≥)</v>
      </c>
      <c r="N32" s="543" t="s">
        <v>162</v>
      </c>
      <c r="O32" s="543">
        <f t="shared" si="1"/>
        <v>1</v>
      </c>
      <c r="P32" s="543" t="s">
        <v>162</v>
      </c>
      <c r="Q32" s="543">
        <f t="shared" si="2"/>
        <v>1</v>
      </c>
      <c r="R32" s="519" t="s">
        <v>514</v>
      </c>
      <c r="S32" s="543"/>
    </row>
    <row r="33" spans="1:19" x14ac:dyDescent="0.2">
      <c r="A33" s="215" t="s">
        <v>515</v>
      </c>
      <c r="B33" s="119" t="s">
        <v>516</v>
      </c>
      <c r="C33" s="543" t="s">
        <v>517</v>
      </c>
      <c r="D33" s="543" t="s">
        <v>398</v>
      </c>
      <c r="E33" s="543"/>
      <c r="F33" s="519" t="s">
        <v>77</v>
      </c>
      <c r="G33" s="543"/>
      <c r="H33" s="519" t="s">
        <v>511</v>
      </c>
      <c r="I33" s="543" t="s">
        <v>517</v>
      </c>
      <c r="J33" s="571" t="s">
        <v>515</v>
      </c>
      <c r="K33" s="543" t="s">
        <v>401</v>
      </c>
      <c r="L33" s="543">
        <f t="shared" si="4"/>
        <v>8</v>
      </c>
      <c r="M33" s="543" t="str">
        <f t="shared" si="3"/>
        <v>Bespoke compensation likely to be required 🛠</v>
      </c>
      <c r="N33" s="543" t="s">
        <v>159</v>
      </c>
      <c r="O33" s="543">
        <f t="shared" si="1"/>
        <v>0.33</v>
      </c>
      <c r="P33" s="543" t="s">
        <v>159</v>
      </c>
      <c r="Q33" s="543">
        <f t="shared" si="2"/>
        <v>0.33</v>
      </c>
      <c r="R33" s="519"/>
      <c r="S33" s="543"/>
    </row>
    <row r="34" spans="1:19" x14ac:dyDescent="0.2">
      <c r="A34" s="215" t="s">
        <v>518</v>
      </c>
      <c r="B34" s="119" t="s">
        <v>519</v>
      </c>
      <c r="C34" s="543" t="s">
        <v>520</v>
      </c>
      <c r="D34" s="543" t="s">
        <v>398</v>
      </c>
      <c r="E34" s="543"/>
      <c r="F34" s="519" t="s">
        <v>77</v>
      </c>
      <c r="G34" s="543"/>
      <c r="H34" s="519" t="s">
        <v>494</v>
      </c>
      <c r="I34" s="543" t="s">
        <v>520</v>
      </c>
      <c r="J34" s="543" t="s">
        <v>518</v>
      </c>
      <c r="K34" s="543" t="s">
        <v>162</v>
      </c>
      <c r="L34" s="543">
        <f t="shared" si="4"/>
        <v>2</v>
      </c>
      <c r="M34" s="543" t="str">
        <f t="shared" si="3"/>
        <v>Same distinctiveness or better habitat required ≥</v>
      </c>
      <c r="N34" s="543" t="s">
        <v>162</v>
      </c>
      <c r="O34" s="543">
        <f t="shared" ref="O34:O64" si="5">VLOOKUP(N34,Difficulty,2,FALSE)</f>
        <v>1</v>
      </c>
      <c r="P34" s="543" t="s">
        <v>162</v>
      </c>
      <c r="Q34" s="543">
        <f t="shared" ref="Q34:Q64" si="6">VLOOKUP(P34,Difficulty,2,FALSE)</f>
        <v>1</v>
      </c>
      <c r="R34" s="519"/>
      <c r="S34" s="543"/>
    </row>
    <row r="35" spans="1:19" x14ac:dyDescent="0.2">
      <c r="A35" s="215" t="s">
        <v>521</v>
      </c>
      <c r="B35" s="119" t="s">
        <v>522</v>
      </c>
      <c r="C35" s="543" t="s">
        <v>523</v>
      </c>
      <c r="D35" s="543" t="s">
        <v>398</v>
      </c>
      <c r="E35" s="543"/>
      <c r="F35" s="519" t="s">
        <v>77</v>
      </c>
      <c r="G35" s="543"/>
      <c r="H35" s="519" t="s">
        <v>494</v>
      </c>
      <c r="I35" s="543" t="s">
        <v>524</v>
      </c>
      <c r="J35" s="543" t="s">
        <v>525</v>
      </c>
      <c r="K35" s="543" t="s">
        <v>159</v>
      </c>
      <c r="L35" s="543">
        <f t="shared" si="4"/>
        <v>6</v>
      </c>
      <c r="M35" s="543" t="str">
        <f t="shared" si="3"/>
        <v>Same habitat required =</v>
      </c>
      <c r="N35" s="543" t="s">
        <v>29</v>
      </c>
      <c r="O35" s="543">
        <f t="shared" si="5"/>
        <v>0.67</v>
      </c>
      <c r="P35" s="543" t="s">
        <v>162</v>
      </c>
      <c r="Q35" s="543">
        <f t="shared" si="6"/>
        <v>1</v>
      </c>
      <c r="R35" s="519"/>
      <c r="S35" s="543"/>
    </row>
    <row r="36" spans="1:19" x14ac:dyDescent="0.2">
      <c r="A36" s="215" t="s">
        <v>526</v>
      </c>
      <c r="B36" s="119" t="s">
        <v>527</v>
      </c>
      <c r="C36" s="543" t="s">
        <v>528</v>
      </c>
      <c r="D36" s="543" t="s">
        <v>398</v>
      </c>
      <c r="E36" s="543"/>
      <c r="F36" s="519" t="s">
        <v>77</v>
      </c>
      <c r="G36" s="543"/>
      <c r="H36" s="519" t="s">
        <v>494</v>
      </c>
      <c r="I36" s="543" t="s">
        <v>524</v>
      </c>
      <c r="J36" s="543" t="s">
        <v>529</v>
      </c>
      <c r="K36" s="543" t="s">
        <v>162</v>
      </c>
      <c r="L36" s="543">
        <f t="shared" ref="L36" si="7">IF(K36=$V$3,$W$3,IF(K36=$V$3,$W$3,IF(K36=$V$4,$W$4,IF(K36=$V$5,$W$5,IF(K36=$V$6,$W$6,IF(K36=$V$7,$W$7))))))</f>
        <v>2</v>
      </c>
      <c r="M36" s="543" t="str">
        <f t="shared" si="3"/>
        <v>Same distinctiveness or better habitat required ≥</v>
      </c>
      <c r="N36" s="543" t="s">
        <v>162</v>
      </c>
      <c r="O36" s="543">
        <f t="shared" si="5"/>
        <v>1</v>
      </c>
      <c r="P36" s="543" t="s">
        <v>162</v>
      </c>
      <c r="Q36" s="543">
        <f t="shared" si="6"/>
        <v>1</v>
      </c>
      <c r="R36" s="519"/>
      <c r="S36" s="543"/>
    </row>
    <row r="37" spans="1:19" ht="15" thickBot="1" x14ac:dyDescent="0.25">
      <c r="A37" s="215" t="s">
        <v>530</v>
      </c>
      <c r="B37" s="217" t="s">
        <v>531</v>
      </c>
      <c r="C37" s="525" t="s">
        <v>532</v>
      </c>
      <c r="D37" s="525" t="s">
        <v>398</v>
      </c>
      <c r="E37" s="525"/>
      <c r="F37" s="507" t="s">
        <v>77</v>
      </c>
      <c r="G37" s="525"/>
      <c r="H37" s="507" t="s">
        <v>511</v>
      </c>
      <c r="I37" s="525" t="s">
        <v>532</v>
      </c>
      <c r="J37" s="574" t="s">
        <v>530</v>
      </c>
      <c r="K37" s="525" t="s">
        <v>159</v>
      </c>
      <c r="L37" s="525">
        <f t="shared" si="4"/>
        <v>6</v>
      </c>
      <c r="M37" s="525" t="str">
        <f t="shared" si="3"/>
        <v>Same habitat required =</v>
      </c>
      <c r="N37" s="525" t="s">
        <v>29</v>
      </c>
      <c r="O37" s="525">
        <f t="shared" si="5"/>
        <v>0.67</v>
      </c>
      <c r="P37" s="525" t="s">
        <v>29</v>
      </c>
      <c r="Q37" s="525">
        <f t="shared" si="6"/>
        <v>0.67</v>
      </c>
      <c r="R37" s="507"/>
      <c r="S37" s="525"/>
    </row>
    <row r="38" spans="1:19" x14ac:dyDescent="0.2">
      <c r="A38" s="215" t="s">
        <v>533</v>
      </c>
      <c r="B38" s="218" t="s">
        <v>534</v>
      </c>
      <c r="C38" s="520" t="s">
        <v>535</v>
      </c>
      <c r="D38" s="520" t="s">
        <v>536</v>
      </c>
      <c r="E38" s="520"/>
      <c r="F38" s="506" t="s">
        <v>78</v>
      </c>
      <c r="G38" s="520"/>
      <c r="H38" s="506" t="s">
        <v>537</v>
      </c>
      <c r="I38" s="520" t="s">
        <v>535</v>
      </c>
      <c r="J38" s="575" t="s">
        <v>533</v>
      </c>
      <c r="K38" s="520" t="s">
        <v>401</v>
      </c>
      <c r="L38" s="520">
        <f t="shared" si="4"/>
        <v>8</v>
      </c>
      <c r="M38" s="520" t="str">
        <f t="shared" si="3"/>
        <v>Bespoke compensation likely to be required 🛠</v>
      </c>
      <c r="N38" s="520" t="s">
        <v>157</v>
      </c>
      <c r="O38" s="520">
        <f t="shared" si="5"/>
        <v>0.1</v>
      </c>
      <c r="P38" s="520" t="s">
        <v>159</v>
      </c>
      <c r="Q38" s="520">
        <f t="shared" si="6"/>
        <v>0.33</v>
      </c>
      <c r="R38" s="506"/>
      <c r="S38" s="520"/>
    </row>
    <row r="39" spans="1:19" x14ac:dyDescent="0.2">
      <c r="A39" s="215" t="s">
        <v>538</v>
      </c>
      <c r="B39" s="119" t="s">
        <v>539</v>
      </c>
      <c r="C39" s="543">
        <v>362</v>
      </c>
      <c r="D39" s="543" t="s">
        <v>398</v>
      </c>
      <c r="E39" s="543"/>
      <c r="F39" s="519" t="s">
        <v>80</v>
      </c>
      <c r="G39" s="543"/>
      <c r="H39" s="519" t="s">
        <v>540</v>
      </c>
      <c r="I39" s="543"/>
      <c r="J39" s="543" t="s">
        <v>538</v>
      </c>
      <c r="K39" s="543" t="s">
        <v>162</v>
      </c>
      <c r="L39" s="543">
        <f>IF(K39=$V$3,$W$3,IF(K39=$V$3,$W$3,IF(K39=$V$4,$W$4,IF(K39=$V$5,$W$5,IF(K39=$V$6,$W$6,IF(K39=$V$7,$W$7))))))</f>
        <v>2</v>
      </c>
      <c r="M39" s="543" t="str">
        <f>IF($K39=$V$3,$X$3,IF($K39=$V$4,$X$4,IF($K39=$V$5,$X$5,IF($K39=$V$6,$X$6,IF($K39=$V$7,$X$7)))))</f>
        <v>Same distinctiveness or better habitat required ≥</v>
      </c>
      <c r="N39" s="543" t="s">
        <v>162</v>
      </c>
      <c r="O39" s="543">
        <f>VLOOKUP(N39,Difficulty,2,FALSE)</f>
        <v>1</v>
      </c>
      <c r="P39" s="543" t="s">
        <v>159</v>
      </c>
      <c r="Q39" s="543">
        <f>VLOOKUP(P39,Difficulty,2,FALSE)</f>
        <v>0.33</v>
      </c>
      <c r="R39" s="519"/>
      <c r="S39" s="543"/>
    </row>
    <row r="40" spans="1:19" x14ac:dyDescent="0.2">
      <c r="A40" s="215" t="s">
        <v>541</v>
      </c>
      <c r="B40" s="119" t="s">
        <v>542</v>
      </c>
      <c r="C40" s="543" t="s">
        <v>543</v>
      </c>
      <c r="D40" s="543" t="s">
        <v>536</v>
      </c>
      <c r="E40" s="543"/>
      <c r="F40" s="519" t="s">
        <v>78</v>
      </c>
      <c r="G40" s="543"/>
      <c r="H40" s="519" t="s">
        <v>537</v>
      </c>
      <c r="I40" s="543"/>
      <c r="J40" s="571"/>
      <c r="K40" s="543" t="s">
        <v>159</v>
      </c>
      <c r="L40" s="543">
        <f t="shared" ref="L40:L45" si="8">IF(K40=$V$3,$W$3,IF(K40=$V$3,$W$3,IF(K40=$V$4,$W$4,IF(K40=$V$5,$W$5,IF(K40=$V$6,$W$6,IF(K40=$V$7,$W$7))))))</f>
        <v>6</v>
      </c>
      <c r="M40" s="543" t="str">
        <f t="shared" si="3"/>
        <v>Same habitat required =</v>
      </c>
      <c r="N40" s="543" t="s">
        <v>159</v>
      </c>
      <c r="O40" s="543">
        <f t="shared" si="5"/>
        <v>0.33</v>
      </c>
      <c r="P40" s="543" t="s">
        <v>159</v>
      </c>
      <c r="Q40" s="543">
        <f t="shared" si="6"/>
        <v>0.33</v>
      </c>
      <c r="R40" s="519"/>
      <c r="S40" s="543"/>
    </row>
    <row r="41" spans="1:19" x14ac:dyDescent="0.2">
      <c r="A41" s="215" t="s">
        <v>544</v>
      </c>
      <c r="B41" s="119" t="s">
        <v>545</v>
      </c>
      <c r="C41" s="543" t="s">
        <v>546</v>
      </c>
      <c r="D41" s="543" t="s">
        <v>536</v>
      </c>
      <c r="E41" s="543"/>
      <c r="F41" s="519" t="s">
        <v>78</v>
      </c>
      <c r="G41" s="543"/>
      <c r="H41" s="519" t="s">
        <v>537</v>
      </c>
      <c r="I41" s="543"/>
      <c r="J41" s="571"/>
      <c r="K41" s="543" t="s">
        <v>159</v>
      </c>
      <c r="L41" s="543">
        <f t="shared" si="8"/>
        <v>6</v>
      </c>
      <c r="M41" s="543" t="str">
        <f t="shared" si="3"/>
        <v>Same habitat required =</v>
      </c>
      <c r="N41" s="543" t="s">
        <v>159</v>
      </c>
      <c r="O41" s="543">
        <f t="shared" si="5"/>
        <v>0.33</v>
      </c>
      <c r="P41" s="543" t="s">
        <v>29</v>
      </c>
      <c r="Q41" s="543">
        <f t="shared" si="6"/>
        <v>0.67</v>
      </c>
      <c r="R41" s="519"/>
      <c r="S41" s="543"/>
    </row>
    <row r="42" spans="1:19" x14ac:dyDescent="0.2">
      <c r="A42" s="215" t="s">
        <v>547</v>
      </c>
      <c r="B42" s="119" t="s">
        <v>548</v>
      </c>
      <c r="C42" s="543" t="s">
        <v>549</v>
      </c>
      <c r="D42" s="543" t="s">
        <v>536</v>
      </c>
      <c r="E42" s="543"/>
      <c r="F42" s="519" t="s">
        <v>78</v>
      </c>
      <c r="G42" s="543"/>
      <c r="H42" s="519" t="s">
        <v>537</v>
      </c>
      <c r="I42" s="543"/>
      <c r="J42" s="571"/>
      <c r="K42" s="543" t="s">
        <v>159</v>
      </c>
      <c r="L42" s="543">
        <f t="shared" si="8"/>
        <v>6</v>
      </c>
      <c r="M42" s="543" t="str">
        <f t="shared" si="3"/>
        <v>Same habitat required =</v>
      </c>
      <c r="N42" s="543" t="s">
        <v>159</v>
      </c>
      <c r="O42" s="543">
        <f t="shared" si="5"/>
        <v>0.33</v>
      </c>
      <c r="P42" s="543" t="s">
        <v>159</v>
      </c>
      <c r="Q42" s="543">
        <f t="shared" si="6"/>
        <v>0.33</v>
      </c>
      <c r="R42" s="519"/>
      <c r="S42" s="543"/>
    </row>
    <row r="43" spans="1:19" x14ac:dyDescent="0.2">
      <c r="A43" s="215" t="s">
        <v>550</v>
      </c>
      <c r="B43" s="119" t="s">
        <v>551</v>
      </c>
      <c r="C43" s="543" t="s">
        <v>552</v>
      </c>
      <c r="D43" s="543" t="s">
        <v>536</v>
      </c>
      <c r="E43" s="543"/>
      <c r="F43" s="519" t="s">
        <v>78</v>
      </c>
      <c r="G43" s="543"/>
      <c r="H43" s="519" t="s">
        <v>537</v>
      </c>
      <c r="I43" s="543"/>
      <c r="J43" s="571"/>
      <c r="K43" s="543" t="s">
        <v>159</v>
      </c>
      <c r="L43" s="543">
        <f t="shared" si="8"/>
        <v>6</v>
      </c>
      <c r="M43" s="543" t="str">
        <f t="shared" si="3"/>
        <v>Same habitat required =</v>
      </c>
      <c r="N43" s="543" t="s">
        <v>159</v>
      </c>
      <c r="O43" s="543">
        <f t="shared" si="5"/>
        <v>0.33</v>
      </c>
      <c r="P43" s="543" t="s">
        <v>159</v>
      </c>
      <c r="Q43" s="543">
        <f t="shared" si="6"/>
        <v>0.33</v>
      </c>
      <c r="R43" s="519"/>
      <c r="S43" s="543"/>
    </row>
    <row r="44" spans="1:19" x14ac:dyDescent="0.2">
      <c r="A44" s="215" t="s">
        <v>553</v>
      </c>
      <c r="B44" s="119" t="s">
        <v>554</v>
      </c>
      <c r="C44" s="543" t="s">
        <v>555</v>
      </c>
      <c r="D44" s="543" t="s">
        <v>536</v>
      </c>
      <c r="E44" s="543"/>
      <c r="F44" s="519" t="s">
        <v>78</v>
      </c>
      <c r="G44" s="543"/>
      <c r="H44" s="519" t="s">
        <v>537</v>
      </c>
      <c r="I44" s="543"/>
      <c r="J44" s="571"/>
      <c r="K44" s="543" t="s">
        <v>159</v>
      </c>
      <c r="L44" s="543">
        <f t="shared" si="8"/>
        <v>6</v>
      </c>
      <c r="M44" s="543" t="str">
        <f t="shared" si="3"/>
        <v>Same habitat required =</v>
      </c>
      <c r="N44" s="543" t="s">
        <v>159</v>
      </c>
      <c r="O44" s="543">
        <f t="shared" si="5"/>
        <v>0.33</v>
      </c>
      <c r="P44" s="543" t="s">
        <v>159</v>
      </c>
      <c r="Q44" s="543">
        <f t="shared" si="6"/>
        <v>0.33</v>
      </c>
      <c r="R44" s="519"/>
      <c r="S44" s="543"/>
    </row>
    <row r="45" spans="1:19" x14ac:dyDescent="0.2">
      <c r="A45" s="215" t="s">
        <v>556</v>
      </c>
      <c r="B45" s="119" t="s">
        <v>557</v>
      </c>
      <c r="C45" s="543" t="s">
        <v>558</v>
      </c>
      <c r="D45" s="543" t="s">
        <v>536</v>
      </c>
      <c r="E45" s="543"/>
      <c r="F45" s="519" t="s">
        <v>78</v>
      </c>
      <c r="G45" s="543"/>
      <c r="H45" s="519" t="s">
        <v>537</v>
      </c>
      <c r="I45" s="543"/>
      <c r="J45" s="571"/>
      <c r="K45" s="543" t="s">
        <v>159</v>
      </c>
      <c r="L45" s="543">
        <f t="shared" si="8"/>
        <v>6</v>
      </c>
      <c r="M45" s="543" t="str">
        <f t="shared" si="3"/>
        <v>Same habitat required =</v>
      </c>
      <c r="N45" s="543" t="s">
        <v>29</v>
      </c>
      <c r="O45" s="543">
        <f t="shared" si="5"/>
        <v>0.67</v>
      </c>
      <c r="P45" s="543" t="s">
        <v>29</v>
      </c>
      <c r="Q45" s="543">
        <f t="shared" si="6"/>
        <v>0.67</v>
      </c>
      <c r="R45" s="519"/>
      <c r="S45" s="543"/>
    </row>
    <row r="46" spans="1:19" x14ac:dyDescent="0.2">
      <c r="A46" s="215" t="s">
        <v>239</v>
      </c>
      <c r="B46" s="119" t="s">
        <v>559</v>
      </c>
      <c r="C46" s="543" t="s">
        <v>560</v>
      </c>
      <c r="D46" s="543" t="s">
        <v>536</v>
      </c>
      <c r="E46" s="543"/>
      <c r="F46" s="519" t="s">
        <v>78</v>
      </c>
      <c r="G46" s="543"/>
      <c r="H46" s="519" t="s">
        <v>537</v>
      </c>
      <c r="I46" s="543" t="s">
        <v>561</v>
      </c>
      <c r="J46" s="571"/>
      <c r="K46" s="543" t="s">
        <v>29</v>
      </c>
      <c r="L46" s="543">
        <f t="shared" si="4"/>
        <v>4</v>
      </c>
      <c r="M46" s="543" t="str">
        <f t="shared" si="3"/>
        <v>Same broad habitat or a higher distinctiveness habitat required (≥)</v>
      </c>
      <c r="N46" s="543" t="s">
        <v>162</v>
      </c>
      <c r="O46" s="543">
        <f t="shared" si="5"/>
        <v>1</v>
      </c>
      <c r="P46" s="543" t="s">
        <v>29</v>
      </c>
      <c r="Q46" s="543">
        <f t="shared" si="6"/>
        <v>0.67</v>
      </c>
      <c r="R46" s="519"/>
      <c r="S46" s="543"/>
    </row>
    <row r="47" spans="1:19" x14ac:dyDescent="0.2">
      <c r="A47" s="215" t="s">
        <v>562</v>
      </c>
      <c r="B47" s="119" t="s">
        <v>563</v>
      </c>
      <c r="C47" s="543">
        <v>108</v>
      </c>
      <c r="D47" s="543" t="s">
        <v>536</v>
      </c>
      <c r="E47" s="543"/>
      <c r="F47" s="519" t="s">
        <v>78</v>
      </c>
      <c r="G47" s="543"/>
      <c r="H47" s="519" t="s">
        <v>537</v>
      </c>
      <c r="I47" s="543"/>
      <c r="J47" s="543"/>
      <c r="K47" s="543" t="s">
        <v>29</v>
      </c>
      <c r="L47" s="543">
        <f t="shared" si="4"/>
        <v>4</v>
      </c>
      <c r="M47" s="543" t="str">
        <f t="shared" si="3"/>
        <v>Same broad habitat or a higher distinctiveness habitat required (≥)</v>
      </c>
      <c r="N47" s="543" t="s">
        <v>29</v>
      </c>
      <c r="O47" s="543">
        <f t="shared" si="5"/>
        <v>0.67</v>
      </c>
      <c r="P47" s="543" t="s">
        <v>29</v>
      </c>
      <c r="Q47" s="543">
        <f t="shared" si="6"/>
        <v>0.67</v>
      </c>
      <c r="R47" s="519"/>
      <c r="S47" s="543"/>
    </row>
    <row r="48" spans="1:19" ht="15" thickBot="1" x14ac:dyDescent="0.25">
      <c r="A48" s="215" t="s">
        <v>564</v>
      </c>
      <c r="B48" s="217" t="s">
        <v>565</v>
      </c>
      <c r="C48" s="543" t="s">
        <v>566</v>
      </c>
      <c r="D48" s="525" t="s">
        <v>536</v>
      </c>
      <c r="E48" s="525"/>
      <c r="F48" s="507" t="s">
        <v>78</v>
      </c>
      <c r="G48" s="525"/>
      <c r="H48" s="507" t="s">
        <v>537</v>
      </c>
      <c r="I48" s="525" t="s">
        <v>567</v>
      </c>
      <c r="J48" s="574"/>
      <c r="K48" s="525" t="s">
        <v>159</v>
      </c>
      <c r="L48" s="525">
        <f t="shared" si="4"/>
        <v>6</v>
      </c>
      <c r="M48" s="525" t="str">
        <f t="shared" si="3"/>
        <v>Same habitat required =</v>
      </c>
      <c r="N48" s="525" t="s">
        <v>29</v>
      </c>
      <c r="O48" s="525">
        <f t="shared" si="5"/>
        <v>0.67</v>
      </c>
      <c r="P48" s="525" t="s">
        <v>29</v>
      </c>
      <c r="Q48" s="525">
        <f t="shared" si="6"/>
        <v>0.67</v>
      </c>
      <c r="R48" s="507"/>
      <c r="S48" s="525"/>
    </row>
    <row r="49" spans="1:19" x14ac:dyDescent="0.2">
      <c r="A49" s="215" t="s">
        <v>568</v>
      </c>
      <c r="B49" s="218" t="s">
        <v>569</v>
      </c>
      <c r="C49" s="520" t="s">
        <v>570</v>
      </c>
      <c r="D49" s="520" t="s">
        <v>536</v>
      </c>
      <c r="E49" s="520"/>
      <c r="F49" s="506" t="s">
        <v>79</v>
      </c>
      <c r="G49" s="520"/>
      <c r="H49" s="506" t="s">
        <v>571</v>
      </c>
      <c r="I49" s="520"/>
      <c r="J49" s="575" t="s">
        <v>568</v>
      </c>
      <c r="K49" s="520" t="s">
        <v>401</v>
      </c>
      <c r="L49" s="520">
        <f t="shared" ref="L49:L76" si="9">IF(K49=$V$3,$W$3,IF(K49=$V$3,$W$3,IF(K49=$V$4,$W$4,IF(K49=$V$5,$W$5,IF(K49=$V$6,$W$6,IF(K49=$V$7,$W$7))))))</f>
        <v>8</v>
      </c>
      <c r="M49" s="520" t="str">
        <f t="shared" si="3"/>
        <v>Bespoke compensation likely to be required 🛠</v>
      </c>
      <c r="N49" s="520" t="s">
        <v>157</v>
      </c>
      <c r="O49" s="520">
        <f t="shared" si="5"/>
        <v>0.1</v>
      </c>
      <c r="P49" s="520" t="s">
        <v>29</v>
      </c>
      <c r="Q49" s="520">
        <f t="shared" si="6"/>
        <v>0.67</v>
      </c>
      <c r="R49" s="506"/>
      <c r="S49" s="520"/>
    </row>
    <row r="50" spans="1:19" x14ac:dyDescent="0.2">
      <c r="A50" s="215" t="s">
        <v>572</v>
      </c>
      <c r="B50" s="119" t="s">
        <v>573</v>
      </c>
      <c r="C50" s="543" t="s">
        <v>574</v>
      </c>
      <c r="D50" s="543" t="s">
        <v>536</v>
      </c>
      <c r="E50" s="543"/>
      <c r="F50" s="519" t="s">
        <v>79</v>
      </c>
      <c r="G50" s="543"/>
      <c r="H50" s="519" t="s">
        <v>575</v>
      </c>
      <c r="I50" s="543"/>
      <c r="J50" s="543"/>
      <c r="K50" s="543" t="s">
        <v>159</v>
      </c>
      <c r="L50" s="543">
        <f t="shared" si="9"/>
        <v>6</v>
      </c>
      <c r="M50" s="543" t="str">
        <f t="shared" si="3"/>
        <v>Same habitat required =</v>
      </c>
      <c r="N50" s="543" t="s">
        <v>157</v>
      </c>
      <c r="O50" s="543">
        <f t="shared" si="5"/>
        <v>0.1</v>
      </c>
      <c r="P50" s="543" t="s">
        <v>29</v>
      </c>
      <c r="Q50" s="543">
        <f t="shared" si="6"/>
        <v>0.67</v>
      </c>
      <c r="R50" s="519"/>
      <c r="S50" s="543"/>
    </row>
    <row r="51" spans="1:19" x14ac:dyDescent="0.2">
      <c r="A51" s="215" t="s">
        <v>576</v>
      </c>
      <c r="B51" s="119" t="s">
        <v>577</v>
      </c>
      <c r="C51" s="543" t="s">
        <v>578</v>
      </c>
      <c r="D51" s="543" t="s">
        <v>398</v>
      </c>
      <c r="E51" s="543"/>
      <c r="F51" s="519" t="s">
        <v>79</v>
      </c>
      <c r="G51" s="543"/>
      <c r="H51" s="519" t="s">
        <v>575</v>
      </c>
      <c r="I51" s="543" t="s">
        <v>570</v>
      </c>
      <c r="J51" s="571"/>
      <c r="K51" s="543" t="s">
        <v>159</v>
      </c>
      <c r="L51" s="543">
        <f t="shared" si="9"/>
        <v>6</v>
      </c>
      <c r="M51" s="543" t="str">
        <f t="shared" si="3"/>
        <v>Same habitat required =</v>
      </c>
      <c r="N51" s="543" t="s">
        <v>157</v>
      </c>
      <c r="O51" s="543">
        <f t="shared" si="5"/>
        <v>0.1</v>
      </c>
      <c r="P51" s="543" t="s">
        <v>29</v>
      </c>
      <c r="Q51" s="543">
        <f t="shared" si="6"/>
        <v>0.67</v>
      </c>
      <c r="R51" s="519"/>
      <c r="S51" s="543"/>
    </row>
    <row r="52" spans="1:19" x14ac:dyDescent="0.2">
      <c r="A52" s="215" t="s">
        <v>579</v>
      </c>
      <c r="B52" s="119" t="s">
        <v>580</v>
      </c>
      <c r="C52" s="543">
        <v>17</v>
      </c>
      <c r="D52" s="543" t="s">
        <v>398</v>
      </c>
      <c r="E52" s="543"/>
      <c r="F52" s="519" t="s">
        <v>79</v>
      </c>
      <c r="G52" s="543"/>
      <c r="H52" s="519"/>
      <c r="I52" s="543"/>
      <c r="J52" s="543" t="s">
        <v>581</v>
      </c>
      <c r="K52" s="543" t="s">
        <v>162</v>
      </c>
      <c r="L52" s="543">
        <f t="shared" si="9"/>
        <v>2</v>
      </c>
      <c r="M52" s="543" t="str">
        <f t="shared" si="3"/>
        <v>Same distinctiveness or better habitat required ≥</v>
      </c>
      <c r="N52" s="543" t="s">
        <v>162</v>
      </c>
      <c r="O52" s="543">
        <f t="shared" si="5"/>
        <v>1</v>
      </c>
      <c r="P52" s="543" t="s">
        <v>29</v>
      </c>
      <c r="Q52" s="543">
        <f t="shared" si="6"/>
        <v>0.67</v>
      </c>
      <c r="R52" s="519" t="s">
        <v>582</v>
      </c>
      <c r="S52" s="543"/>
    </row>
    <row r="53" spans="1:19" x14ac:dyDescent="0.2">
      <c r="A53" s="215" t="s">
        <v>583</v>
      </c>
      <c r="B53" s="119" t="s">
        <v>584</v>
      </c>
      <c r="C53" s="543" t="s">
        <v>585</v>
      </c>
      <c r="D53" s="543" t="s">
        <v>398</v>
      </c>
      <c r="E53" s="543" t="s">
        <v>586</v>
      </c>
      <c r="F53" s="519" t="s">
        <v>79</v>
      </c>
      <c r="G53" s="543" t="s">
        <v>587</v>
      </c>
      <c r="H53" s="519" t="s">
        <v>571</v>
      </c>
      <c r="I53" s="543" t="s">
        <v>585</v>
      </c>
      <c r="J53" s="571" t="s">
        <v>583</v>
      </c>
      <c r="K53" s="543" t="s">
        <v>159</v>
      </c>
      <c r="L53" s="543">
        <f t="shared" si="9"/>
        <v>6</v>
      </c>
      <c r="M53" s="543" t="str">
        <f t="shared" si="3"/>
        <v>Same habitat required =</v>
      </c>
      <c r="N53" s="543" t="s">
        <v>159</v>
      </c>
      <c r="O53" s="543">
        <f t="shared" si="5"/>
        <v>0.33</v>
      </c>
      <c r="P53" s="543" t="s">
        <v>162</v>
      </c>
      <c r="Q53" s="543">
        <f t="shared" si="6"/>
        <v>1</v>
      </c>
      <c r="R53" s="519"/>
      <c r="S53" s="543"/>
    </row>
    <row r="54" spans="1:19" x14ac:dyDescent="0.2">
      <c r="A54" s="215" t="s">
        <v>588</v>
      </c>
      <c r="B54" s="119" t="s">
        <v>589</v>
      </c>
      <c r="C54" s="543" t="s">
        <v>590</v>
      </c>
      <c r="D54" s="543" t="s">
        <v>398</v>
      </c>
      <c r="E54" s="543"/>
      <c r="F54" s="519" t="s">
        <v>79</v>
      </c>
      <c r="G54" s="543"/>
      <c r="H54" s="519" t="s">
        <v>571</v>
      </c>
      <c r="I54" s="543" t="s">
        <v>590</v>
      </c>
      <c r="J54" s="571" t="s">
        <v>588</v>
      </c>
      <c r="K54" s="543" t="s">
        <v>401</v>
      </c>
      <c r="L54" s="543">
        <f t="shared" si="9"/>
        <v>8</v>
      </c>
      <c r="M54" s="543" t="str">
        <f t="shared" si="3"/>
        <v>Bespoke compensation likely to be required 🛠</v>
      </c>
      <c r="N54" s="543" t="s">
        <v>157</v>
      </c>
      <c r="O54" s="543">
        <f t="shared" si="5"/>
        <v>0.1</v>
      </c>
      <c r="P54" s="543" t="s">
        <v>29</v>
      </c>
      <c r="Q54" s="543">
        <f t="shared" si="6"/>
        <v>0.67</v>
      </c>
      <c r="R54" s="519"/>
      <c r="S54" s="543"/>
    </row>
    <row r="55" spans="1:19" x14ac:dyDescent="0.2">
      <c r="A55" s="215" t="s">
        <v>591</v>
      </c>
      <c r="B55" s="119" t="s">
        <v>592</v>
      </c>
      <c r="C55" s="543" t="s">
        <v>593</v>
      </c>
      <c r="D55" s="543" t="s">
        <v>398</v>
      </c>
      <c r="E55" s="543"/>
      <c r="F55" s="519" t="s">
        <v>79</v>
      </c>
      <c r="G55" s="543" t="s">
        <v>594</v>
      </c>
      <c r="H55" s="519" t="s">
        <v>595</v>
      </c>
      <c r="I55" s="543" t="s">
        <v>593</v>
      </c>
      <c r="J55" s="571" t="s">
        <v>591</v>
      </c>
      <c r="K55" s="543" t="s">
        <v>159</v>
      </c>
      <c r="L55" s="543">
        <f t="shared" si="9"/>
        <v>6</v>
      </c>
      <c r="M55" s="543" t="str">
        <f t="shared" si="3"/>
        <v>Same habitat required =</v>
      </c>
      <c r="N55" s="543" t="s">
        <v>159</v>
      </c>
      <c r="O55" s="543">
        <f t="shared" si="5"/>
        <v>0.33</v>
      </c>
      <c r="P55" s="543" t="s">
        <v>29</v>
      </c>
      <c r="Q55" s="543">
        <f t="shared" si="6"/>
        <v>0.67</v>
      </c>
      <c r="R55" s="519"/>
      <c r="S55" s="543"/>
    </row>
    <row r="56" spans="1:19" ht="15" thickBot="1" x14ac:dyDescent="0.25">
      <c r="A56" s="215" t="s">
        <v>596</v>
      </c>
      <c r="B56" s="217" t="s">
        <v>597</v>
      </c>
      <c r="C56" s="525" t="s">
        <v>598</v>
      </c>
      <c r="D56" s="525" t="s">
        <v>398</v>
      </c>
      <c r="E56" s="525"/>
      <c r="F56" s="507" t="s">
        <v>79</v>
      </c>
      <c r="G56" s="525"/>
      <c r="H56" s="507" t="s">
        <v>571</v>
      </c>
      <c r="I56" s="525" t="s">
        <v>598</v>
      </c>
      <c r="J56" s="525" t="s">
        <v>596</v>
      </c>
      <c r="K56" s="525" t="s">
        <v>29</v>
      </c>
      <c r="L56" s="525">
        <f t="shared" si="9"/>
        <v>4</v>
      </c>
      <c r="M56" s="525" t="str">
        <f t="shared" si="3"/>
        <v>Same broad habitat or a higher distinctiveness habitat required (≥)</v>
      </c>
      <c r="N56" s="525" t="s">
        <v>29</v>
      </c>
      <c r="O56" s="525">
        <f t="shared" si="5"/>
        <v>0.67</v>
      </c>
      <c r="P56" s="525" t="s">
        <v>29</v>
      </c>
      <c r="Q56" s="525">
        <f t="shared" si="6"/>
        <v>0.67</v>
      </c>
      <c r="R56" s="507"/>
      <c r="S56" s="525"/>
    </row>
    <row r="57" spans="1:19" x14ac:dyDescent="0.2">
      <c r="A57" s="215" t="s">
        <v>599</v>
      </c>
      <c r="B57" s="218" t="s">
        <v>600</v>
      </c>
      <c r="C57" s="520">
        <v>910</v>
      </c>
      <c r="D57" s="520" t="s">
        <v>398</v>
      </c>
      <c r="E57" s="520"/>
      <c r="F57" s="506" t="s">
        <v>80</v>
      </c>
      <c r="G57" s="520"/>
      <c r="H57" s="506" t="s">
        <v>540</v>
      </c>
      <c r="I57" s="520"/>
      <c r="J57" s="520" t="s">
        <v>599</v>
      </c>
      <c r="K57" s="520" t="s">
        <v>162</v>
      </c>
      <c r="L57" s="520">
        <f t="shared" si="9"/>
        <v>2</v>
      </c>
      <c r="M57" s="520" t="str">
        <f t="shared" si="3"/>
        <v>Same distinctiveness or better habitat required ≥</v>
      </c>
      <c r="N57" s="520" t="s">
        <v>162</v>
      </c>
      <c r="O57" s="520">
        <f t="shared" si="5"/>
        <v>1</v>
      </c>
      <c r="P57" s="520" t="s">
        <v>162</v>
      </c>
      <c r="Q57" s="520">
        <f t="shared" si="6"/>
        <v>1</v>
      </c>
      <c r="R57" s="506"/>
      <c r="S57" s="520"/>
    </row>
    <row r="58" spans="1:19" x14ac:dyDescent="0.2">
      <c r="A58" s="215" t="s">
        <v>240</v>
      </c>
      <c r="B58" s="119" t="s">
        <v>601</v>
      </c>
      <c r="C58" s="543" t="s">
        <v>602</v>
      </c>
      <c r="D58" s="543" t="s">
        <v>398</v>
      </c>
      <c r="E58" s="543"/>
      <c r="F58" s="519" t="s">
        <v>80</v>
      </c>
      <c r="G58" s="543"/>
      <c r="H58" s="519" t="s">
        <v>540</v>
      </c>
      <c r="I58" s="543" t="s">
        <v>602</v>
      </c>
      <c r="J58" s="543" t="s">
        <v>240</v>
      </c>
      <c r="K58" s="543" t="s">
        <v>423</v>
      </c>
      <c r="L58" s="543">
        <f t="shared" si="9"/>
        <v>0</v>
      </c>
      <c r="M58" s="543" t="str">
        <f t="shared" si="3"/>
        <v>Compensation Not Required</v>
      </c>
      <c r="N58" s="543" t="s">
        <v>162</v>
      </c>
      <c r="O58" s="543">
        <f t="shared" si="5"/>
        <v>1</v>
      </c>
      <c r="P58" s="543" t="s">
        <v>162</v>
      </c>
      <c r="Q58" s="543">
        <f t="shared" si="6"/>
        <v>1</v>
      </c>
      <c r="R58" s="519"/>
      <c r="S58" s="543"/>
    </row>
    <row r="59" spans="1:19" x14ac:dyDescent="0.2">
      <c r="A59" s="215" t="s">
        <v>603</v>
      </c>
      <c r="B59" s="119" t="s">
        <v>604</v>
      </c>
      <c r="C59" s="543">
        <v>1191</v>
      </c>
      <c r="D59" s="543" t="s">
        <v>398</v>
      </c>
      <c r="E59" s="543"/>
      <c r="F59" s="519" t="s">
        <v>80</v>
      </c>
      <c r="G59" s="543"/>
      <c r="H59" s="519" t="s">
        <v>540</v>
      </c>
      <c r="I59" s="543"/>
      <c r="J59" s="543" t="s">
        <v>603</v>
      </c>
      <c r="K59" s="543" t="s">
        <v>162</v>
      </c>
      <c r="L59" s="543">
        <f t="shared" si="9"/>
        <v>2</v>
      </c>
      <c r="M59" s="543" t="str">
        <f t="shared" si="3"/>
        <v>Same distinctiveness or better habitat required ≥</v>
      </c>
      <c r="N59" s="543" t="s">
        <v>29</v>
      </c>
      <c r="O59" s="543">
        <f t="shared" si="5"/>
        <v>0.67</v>
      </c>
      <c r="P59" s="543" t="s">
        <v>162</v>
      </c>
      <c r="Q59" s="543">
        <f t="shared" si="6"/>
        <v>1</v>
      </c>
      <c r="R59" s="519"/>
      <c r="S59" s="543"/>
    </row>
    <row r="60" spans="1:19" x14ac:dyDescent="0.2">
      <c r="A60" s="215" t="s">
        <v>605</v>
      </c>
      <c r="B60" s="119" t="s">
        <v>606</v>
      </c>
      <c r="C60" s="543" t="s">
        <v>607</v>
      </c>
      <c r="D60" s="543" t="s">
        <v>398</v>
      </c>
      <c r="E60" s="543"/>
      <c r="F60" s="519" t="s">
        <v>80</v>
      </c>
      <c r="G60" s="543"/>
      <c r="H60" s="519" t="s">
        <v>540</v>
      </c>
      <c r="I60" s="543"/>
      <c r="J60" s="543"/>
      <c r="K60" s="543" t="s">
        <v>162</v>
      </c>
      <c r="L60" s="543">
        <f t="shared" si="9"/>
        <v>2</v>
      </c>
      <c r="M60" s="543" t="str">
        <f t="shared" si="3"/>
        <v>Same distinctiveness or better habitat required ≥</v>
      </c>
      <c r="N60" s="543" t="s">
        <v>162</v>
      </c>
      <c r="O60" s="543">
        <f t="shared" si="5"/>
        <v>1</v>
      </c>
      <c r="P60" s="543" t="s">
        <v>162</v>
      </c>
      <c r="Q60" s="543">
        <f t="shared" si="6"/>
        <v>1</v>
      </c>
      <c r="R60" s="519"/>
      <c r="S60" s="543"/>
    </row>
    <row r="61" spans="1:19" x14ac:dyDescent="0.2">
      <c r="A61" s="215" t="s">
        <v>608</v>
      </c>
      <c r="B61" s="119" t="s">
        <v>609</v>
      </c>
      <c r="C61" s="543" t="s">
        <v>610</v>
      </c>
      <c r="D61" s="543" t="s">
        <v>398</v>
      </c>
      <c r="E61" s="543"/>
      <c r="F61" s="519" t="s">
        <v>80</v>
      </c>
      <c r="G61" s="543"/>
      <c r="H61" s="519" t="s">
        <v>540</v>
      </c>
      <c r="I61" s="543" t="s">
        <v>610</v>
      </c>
      <c r="J61" s="543" t="s">
        <v>608</v>
      </c>
      <c r="K61" s="543" t="s">
        <v>423</v>
      </c>
      <c r="L61" s="543">
        <f t="shared" si="9"/>
        <v>0</v>
      </c>
      <c r="M61" s="543" t="str">
        <f t="shared" si="3"/>
        <v>Compensation Not Required</v>
      </c>
      <c r="N61" s="543" t="s">
        <v>162</v>
      </c>
      <c r="O61" s="543">
        <f t="shared" si="5"/>
        <v>1</v>
      </c>
      <c r="P61" s="543" t="s">
        <v>162</v>
      </c>
      <c r="Q61" s="543">
        <f t="shared" si="6"/>
        <v>1</v>
      </c>
      <c r="R61" s="519"/>
      <c r="S61" s="543"/>
    </row>
    <row r="62" spans="1:19" x14ac:dyDescent="0.2">
      <c r="A62" s="215" t="s">
        <v>611</v>
      </c>
      <c r="B62" s="119" t="s">
        <v>612</v>
      </c>
      <c r="C62" s="543">
        <v>800</v>
      </c>
      <c r="D62" s="543" t="s">
        <v>398</v>
      </c>
      <c r="E62" s="543"/>
      <c r="F62" s="519" t="s">
        <v>80</v>
      </c>
      <c r="G62" s="543"/>
      <c r="H62" s="519" t="s">
        <v>540</v>
      </c>
      <c r="I62" s="543"/>
      <c r="J62" s="543" t="s">
        <v>611</v>
      </c>
      <c r="K62" s="543" t="s">
        <v>29</v>
      </c>
      <c r="L62" s="543">
        <f t="shared" si="9"/>
        <v>4</v>
      </c>
      <c r="M62" s="543" t="str">
        <f t="shared" si="3"/>
        <v>Same broad habitat or a higher distinctiveness habitat required (≥)</v>
      </c>
      <c r="N62" s="543" t="s">
        <v>29</v>
      </c>
      <c r="O62" s="543">
        <f t="shared" si="5"/>
        <v>0.67</v>
      </c>
      <c r="P62" s="543" t="s">
        <v>162</v>
      </c>
      <c r="Q62" s="543">
        <f t="shared" si="6"/>
        <v>1</v>
      </c>
      <c r="R62" s="519"/>
      <c r="S62" s="543"/>
    </row>
    <row r="63" spans="1:19" x14ac:dyDescent="0.2">
      <c r="A63" s="215" t="s">
        <v>242</v>
      </c>
      <c r="B63" s="119" t="s">
        <v>613</v>
      </c>
      <c r="C63" s="543" t="s">
        <v>614</v>
      </c>
      <c r="D63" s="543" t="s">
        <v>398</v>
      </c>
      <c r="E63" s="543"/>
      <c r="F63" s="519" t="s">
        <v>80</v>
      </c>
      <c r="G63" s="543"/>
      <c r="H63" s="519" t="s">
        <v>540</v>
      </c>
      <c r="I63" s="543" t="s">
        <v>614</v>
      </c>
      <c r="J63" s="543" t="s">
        <v>242</v>
      </c>
      <c r="K63" s="543" t="s">
        <v>423</v>
      </c>
      <c r="L63" s="543">
        <f t="shared" si="9"/>
        <v>0</v>
      </c>
      <c r="M63" s="543" t="str">
        <f t="shared" si="3"/>
        <v>Compensation Not Required</v>
      </c>
      <c r="N63" s="543" t="s">
        <v>162</v>
      </c>
      <c r="O63" s="543">
        <f t="shared" si="5"/>
        <v>1</v>
      </c>
      <c r="P63" s="543" t="s">
        <v>29</v>
      </c>
      <c r="Q63" s="543">
        <f t="shared" si="6"/>
        <v>0.67</v>
      </c>
      <c r="R63" s="519"/>
      <c r="S63" s="543"/>
    </row>
    <row r="64" spans="1:19" x14ac:dyDescent="0.2">
      <c r="A64" s="215" t="s">
        <v>615</v>
      </c>
      <c r="B64" s="119" t="s">
        <v>616</v>
      </c>
      <c r="C64" s="543" t="s">
        <v>617</v>
      </c>
      <c r="D64" s="543" t="s">
        <v>398</v>
      </c>
      <c r="E64" s="543"/>
      <c r="F64" s="519" t="s">
        <v>80</v>
      </c>
      <c r="G64" s="543"/>
      <c r="H64" s="519" t="s">
        <v>540</v>
      </c>
      <c r="I64" s="543"/>
      <c r="J64" s="543"/>
      <c r="K64" s="543" t="s">
        <v>162</v>
      </c>
      <c r="L64" s="543">
        <f t="shared" si="9"/>
        <v>2</v>
      </c>
      <c r="M64" s="543" t="str">
        <f t="shared" si="3"/>
        <v>Same distinctiveness or better habitat required ≥</v>
      </c>
      <c r="N64" s="543" t="s">
        <v>162</v>
      </c>
      <c r="O64" s="543">
        <f t="shared" si="5"/>
        <v>1</v>
      </c>
      <c r="P64" s="543" t="s">
        <v>162</v>
      </c>
      <c r="Q64" s="543">
        <f t="shared" si="6"/>
        <v>1</v>
      </c>
      <c r="R64" s="519"/>
      <c r="S64" s="543"/>
    </row>
    <row r="65" spans="1:19" x14ac:dyDescent="0.2">
      <c r="A65" s="215" t="s">
        <v>618</v>
      </c>
      <c r="B65" s="119" t="s">
        <v>619</v>
      </c>
      <c r="C65" s="543">
        <v>1122</v>
      </c>
      <c r="D65" s="543" t="s">
        <v>398</v>
      </c>
      <c r="E65" s="543"/>
      <c r="F65" s="519" t="s">
        <v>80</v>
      </c>
      <c r="G65" s="543"/>
      <c r="H65" s="519" t="s">
        <v>540</v>
      </c>
      <c r="I65" s="543"/>
      <c r="J65" s="543" t="s">
        <v>620</v>
      </c>
      <c r="K65" s="543" t="s">
        <v>162</v>
      </c>
      <c r="L65" s="543">
        <f t="shared" si="9"/>
        <v>2</v>
      </c>
      <c r="M65" s="543" t="str">
        <f t="shared" si="3"/>
        <v>Same distinctiveness or better habitat required ≥</v>
      </c>
      <c r="N65" s="543" t="s">
        <v>29</v>
      </c>
      <c r="O65" s="543">
        <f t="shared" ref="O65:O92" si="10">VLOOKUP(N65,Difficulty,2,FALSE)</f>
        <v>0.67</v>
      </c>
      <c r="P65" s="543" t="s">
        <v>29</v>
      </c>
      <c r="Q65" s="543">
        <f t="shared" ref="Q65:Q92" si="11">VLOOKUP(P65,Difficulty,2,FALSE)</f>
        <v>0.67</v>
      </c>
      <c r="R65" s="519"/>
      <c r="S65" s="543"/>
    </row>
    <row r="66" spans="1:19" x14ac:dyDescent="0.2">
      <c r="A66" s="215" t="s">
        <v>621</v>
      </c>
      <c r="B66" s="119" t="s">
        <v>622</v>
      </c>
      <c r="C66" s="543">
        <v>1121</v>
      </c>
      <c r="D66" s="543" t="s">
        <v>398</v>
      </c>
      <c r="E66" s="543"/>
      <c r="F66" s="519" t="s">
        <v>80</v>
      </c>
      <c r="G66" s="543"/>
      <c r="H66" s="519" t="s">
        <v>540</v>
      </c>
      <c r="I66" s="543"/>
      <c r="J66" s="543" t="s">
        <v>621</v>
      </c>
      <c r="K66" s="543" t="s">
        <v>162</v>
      </c>
      <c r="L66" s="543">
        <f t="shared" si="9"/>
        <v>2</v>
      </c>
      <c r="M66" s="543" t="str">
        <f t="shared" si="3"/>
        <v>Same distinctiveness or better habitat required ≥</v>
      </c>
      <c r="N66" s="543" t="s">
        <v>29</v>
      </c>
      <c r="O66" s="543">
        <f t="shared" si="10"/>
        <v>0.67</v>
      </c>
      <c r="P66" s="543" t="s">
        <v>29</v>
      </c>
      <c r="Q66" s="543">
        <f t="shared" si="11"/>
        <v>0.67</v>
      </c>
      <c r="R66" s="519"/>
      <c r="S66" s="543"/>
    </row>
    <row r="67" spans="1:19" x14ac:dyDescent="0.2">
      <c r="A67" s="215" t="s">
        <v>623</v>
      </c>
      <c r="B67" s="119" t="s">
        <v>624</v>
      </c>
      <c r="C67" s="543">
        <v>1140</v>
      </c>
      <c r="D67" s="543" t="s">
        <v>398</v>
      </c>
      <c r="E67" s="543"/>
      <c r="F67" s="519" t="s">
        <v>80</v>
      </c>
      <c r="G67" s="543"/>
      <c r="H67" s="519" t="s">
        <v>540</v>
      </c>
      <c r="I67" s="543"/>
      <c r="J67" s="543" t="s">
        <v>623</v>
      </c>
      <c r="K67" s="543" t="s">
        <v>162</v>
      </c>
      <c r="L67" s="543">
        <f t="shared" si="9"/>
        <v>2</v>
      </c>
      <c r="M67" s="543" t="str">
        <f t="shared" si="3"/>
        <v>Same distinctiveness or better habitat required ≥</v>
      </c>
      <c r="N67" s="543" t="s">
        <v>162</v>
      </c>
      <c r="O67" s="543">
        <f t="shared" si="10"/>
        <v>1</v>
      </c>
      <c r="P67" s="543" t="s">
        <v>162</v>
      </c>
      <c r="Q67" s="543">
        <f t="shared" si="11"/>
        <v>1</v>
      </c>
      <c r="R67" s="519"/>
      <c r="S67" s="543"/>
    </row>
    <row r="68" spans="1:19" x14ac:dyDescent="0.2">
      <c r="A68" s="215" t="s">
        <v>625</v>
      </c>
      <c r="B68" s="119" t="s">
        <v>626</v>
      </c>
      <c r="C68" s="543" t="s">
        <v>627</v>
      </c>
      <c r="D68" s="543" t="s">
        <v>398</v>
      </c>
      <c r="E68" s="543"/>
      <c r="F68" s="519" t="s">
        <v>80</v>
      </c>
      <c r="G68" s="543"/>
      <c r="H68" s="519" t="s">
        <v>540</v>
      </c>
      <c r="I68" s="543"/>
      <c r="J68" s="543" t="s">
        <v>605</v>
      </c>
      <c r="K68" s="543" t="s">
        <v>29</v>
      </c>
      <c r="L68" s="543">
        <f t="shared" si="9"/>
        <v>4</v>
      </c>
      <c r="M68" s="543" t="str">
        <f t="shared" si="3"/>
        <v>Same broad habitat or a higher distinctiveness habitat required (≥)</v>
      </c>
      <c r="N68" s="543" t="s">
        <v>29</v>
      </c>
      <c r="O68" s="543">
        <f t="shared" si="10"/>
        <v>0.67</v>
      </c>
      <c r="P68" s="543" t="s">
        <v>29</v>
      </c>
      <c r="Q68" s="543">
        <f t="shared" si="11"/>
        <v>0.67</v>
      </c>
      <c r="R68" s="519"/>
      <c r="S68" s="543"/>
    </row>
    <row r="69" spans="1:19" x14ac:dyDescent="0.2">
      <c r="A69" s="215" t="s">
        <v>628</v>
      </c>
      <c r="B69" s="119" t="s">
        <v>629</v>
      </c>
      <c r="C69" s="543">
        <v>1160</v>
      </c>
      <c r="D69" s="543" t="s">
        <v>398</v>
      </c>
      <c r="E69" s="543"/>
      <c r="F69" s="519" t="s">
        <v>80</v>
      </c>
      <c r="G69" s="543"/>
      <c r="H69" s="519" t="s">
        <v>540</v>
      </c>
      <c r="I69" s="543"/>
      <c r="J69" s="543" t="s">
        <v>628</v>
      </c>
      <c r="K69" s="543" t="s">
        <v>162</v>
      </c>
      <c r="L69" s="543">
        <f t="shared" si="9"/>
        <v>2</v>
      </c>
      <c r="M69" s="543" t="str">
        <f t="shared" si="3"/>
        <v>Same distinctiveness or better habitat required ≥</v>
      </c>
      <c r="N69" s="543" t="s">
        <v>162</v>
      </c>
      <c r="O69" s="543">
        <f t="shared" si="10"/>
        <v>1</v>
      </c>
      <c r="P69" s="543" t="s">
        <v>162</v>
      </c>
      <c r="Q69" s="543">
        <f t="shared" si="11"/>
        <v>1</v>
      </c>
      <c r="R69" s="519"/>
      <c r="S69" s="543"/>
    </row>
    <row r="70" spans="1:19" x14ac:dyDescent="0.2">
      <c r="A70" s="215" t="s">
        <v>243</v>
      </c>
      <c r="B70" s="119" t="s">
        <v>630</v>
      </c>
      <c r="C70" s="543" t="s">
        <v>631</v>
      </c>
      <c r="D70" s="543" t="s">
        <v>398</v>
      </c>
      <c r="E70" s="543" t="s">
        <v>632</v>
      </c>
      <c r="F70" s="519" t="s">
        <v>80</v>
      </c>
      <c r="G70" s="543" t="s">
        <v>633</v>
      </c>
      <c r="H70" s="519" t="s">
        <v>540</v>
      </c>
      <c r="I70" s="543" t="s">
        <v>631</v>
      </c>
      <c r="J70" s="571" t="s">
        <v>243</v>
      </c>
      <c r="K70" s="543" t="s">
        <v>159</v>
      </c>
      <c r="L70" s="543">
        <f t="shared" si="9"/>
        <v>6</v>
      </c>
      <c r="M70" s="543" t="str">
        <f t="shared" si="3"/>
        <v>Same habitat required =</v>
      </c>
      <c r="N70" s="543" t="s">
        <v>29</v>
      </c>
      <c r="O70" s="543">
        <f t="shared" si="10"/>
        <v>0.67</v>
      </c>
      <c r="P70" s="543" t="s">
        <v>29</v>
      </c>
      <c r="Q70" s="543">
        <f t="shared" si="11"/>
        <v>0.67</v>
      </c>
      <c r="R70" s="519"/>
      <c r="S70" s="543"/>
    </row>
    <row r="71" spans="1:19" x14ac:dyDescent="0.2">
      <c r="A71" s="215" t="s">
        <v>634</v>
      </c>
      <c r="B71" s="119" t="s">
        <v>635</v>
      </c>
      <c r="C71" s="543">
        <v>1192</v>
      </c>
      <c r="D71" s="543" t="s">
        <v>398</v>
      </c>
      <c r="E71" s="543"/>
      <c r="F71" s="519" t="s">
        <v>80</v>
      </c>
      <c r="G71" s="543"/>
      <c r="H71" s="519" t="s">
        <v>540</v>
      </c>
      <c r="I71" s="543"/>
      <c r="J71" s="543" t="s">
        <v>634</v>
      </c>
      <c r="K71" s="543" t="s">
        <v>162</v>
      </c>
      <c r="L71" s="543">
        <f t="shared" si="9"/>
        <v>2</v>
      </c>
      <c r="M71" s="543" t="str">
        <f t="shared" si="3"/>
        <v>Same distinctiveness or better habitat required ≥</v>
      </c>
      <c r="N71" s="543" t="s">
        <v>162</v>
      </c>
      <c r="O71" s="543">
        <f t="shared" si="10"/>
        <v>1</v>
      </c>
      <c r="P71" s="543" t="s">
        <v>162</v>
      </c>
      <c r="Q71" s="543">
        <f t="shared" si="11"/>
        <v>1</v>
      </c>
      <c r="R71" s="519"/>
      <c r="S71" s="543"/>
    </row>
    <row r="72" spans="1:19" x14ac:dyDescent="0.2">
      <c r="A72" s="215" t="s">
        <v>636</v>
      </c>
      <c r="B72" s="119" t="s">
        <v>637</v>
      </c>
      <c r="C72" s="543">
        <v>1030</v>
      </c>
      <c r="D72" s="543" t="s">
        <v>398</v>
      </c>
      <c r="E72" s="543"/>
      <c r="F72" s="519" t="s">
        <v>80</v>
      </c>
      <c r="G72" s="543"/>
      <c r="H72" s="519" t="s">
        <v>540</v>
      </c>
      <c r="I72" s="543"/>
      <c r="J72" s="543" t="s">
        <v>638</v>
      </c>
      <c r="K72" s="543" t="s">
        <v>162</v>
      </c>
      <c r="L72" s="543">
        <f t="shared" si="9"/>
        <v>2</v>
      </c>
      <c r="M72" s="543" t="str">
        <f t="shared" ref="M72:M126" si="12">IF($K72=$V$3,$X$3,IF($K72=$V$4,$X$4,IF($K72=$V$5,$X$5,IF($K72=$V$6,$X$6,IF($K72=$V$7,$X$7)))))</f>
        <v>Same distinctiveness or better habitat required ≥</v>
      </c>
      <c r="N72" s="543" t="s">
        <v>29</v>
      </c>
      <c r="O72" s="543">
        <f t="shared" si="10"/>
        <v>0.67</v>
      </c>
      <c r="P72" s="543" t="s">
        <v>29</v>
      </c>
      <c r="Q72" s="543">
        <f t="shared" si="11"/>
        <v>0.67</v>
      </c>
      <c r="R72" s="519"/>
      <c r="S72" s="543"/>
    </row>
    <row r="73" spans="1:19" x14ac:dyDescent="0.2">
      <c r="A73" s="215" t="s">
        <v>639</v>
      </c>
      <c r="B73" s="119" t="s">
        <v>640</v>
      </c>
      <c r="C73" s="543" t="s">
        <v>641</v>
      </c>
      <c r="D73" s="543" t="s">
        <v>398</v>
      </c>
      <c r="E73" s="543"/>
      <c r="F73" s="519" t="s">
        <v>80</v>
      </c>
      <c r="G73" s="543"/>
      <c r="H73" s="519" t="s">
        <v>540</v>
      </c>
      <c r="I73" s="543"/>
      <c r="J73" s="543" t="s">
        <v>642</v>
      </c>
      <c r="K73" s="543" t="s">
        <v>29</v>
      </c>
      <c r="L73" s="543">
        <f t="shared" si="9"/>
        <v>4</v>
      </c>
      <c r="M73" s="543" t="str">
        <f t="shared" si="12"/>
        <v>Same broad habitat or a higher distinctiveness habitat required (≥)</v>
      </c>
      <c r="N73" s="543" t="s">
        <v>162</v>
      </c>
      <c r="O73" s="543">
        <f t="shared" si="10"/>
        <v>1</v>
      </c>
      <c r="P73" s="543" t="s">
        <v>162</v>
      </c>
      <c r="Q73" s="543">
        <f t="shared" si="11"/>
        <v>1</v>
      </c>
      <c r="R73" s="519"/>
      <c r="S73" s="543"/>
    </row>
    <row r="74" spans="1:19" x14ac:dyDescent="0.2">
      <c r="A74" s="215" t="s">
        <v>643</v>
      </c>
      <c r="B74" s="119" t="s">
        <v>644</v>
      </c>
      <c r="C74" s="543">
        <v>1190</v>
      </c>
      <c r="D74" s="543" t="s">
        <v>398</v>
      </c>
      <c r="E74" s="543"/>
      <c r="F74" s="519" t="s">
        <v>80</v>
      </c>
      <c r="G74" s="543"/>
      <c r="H74" s="519" t="s">
        <v>540</v>
      </c>
      <c r="I74" s="543"/>
      <c r="J74" s="543" t="s">
        <v>643</v>
      </c>
      <c r="K74" s="543" t="s">
        <v>162</v>
      </c>
      <c r="L74" s="543">
        <f t="shared" si="9"/>
        <v>2</v>
      </c>
      <c r="M74" s="543" t="str">
        <f t="shared" si="12"/>
        <v>Same distinctiveness or better habitat required ≥</v>
      </c>
      <c r="N74" s="543" t="s">
        <v>29</v>
      </c>
      <c r="O74" s="543">
        <f t="shared" si="10"/>
        <v>0.67</v>
      </c>
      <c r="P74" s="543" t="s">
        <v>29</v>
      </c>
      <c r="Q74" s="543">
        <f t="shared" si="11"/>
        <v>0.67</v>
      </c>
      <c r="R74" s="519"/>
      <c r="S74" s="543"/>
    </row>
    <row r="75" spans="1:19" x14ac:dyDescent="0.2">
      <c r="A75" s="215" t="s">
        <v>645</v>
      </c>
      <c r="B75" s="119" t="s">
        <v>646</v>
      </c>
      <c r="C75" s="543">
        <v>232</v>
      </c>
      <c r="D75" s="543" t="s">
        <v>398</v>
      </c>
      <c r="E75" s="543"/>
      <c r="F75" s="519" t="s">
        <v>80</v>
      </c>
      <c r="G75" s="543"/>
      <c r="H75" s="519" t="s">
        <v>540</v>
      </c>
      <c r="I75" s="543"/>
      <c r="J75" s="543" t="s">
        <v>645</v>
      </c>
      <c r="K75" s="543" t="s">
        <v>423</v>
      </c>
      <c r="L75" s="543">
        <f t="shared" si="9"/>
        <v>0</v>
      </c>
      <c r="M75" s="543" t="str">
        <f t="shared" si="12"/>
        <v>Compensation Not Required</v>
      </c>
      <c r="N75" s="543" t="s">
        <v>162</v>
      </c>
      <c r="O75" s="543">
        <f t="shared" si="10"/>
        <v>1</v>
      </c>
      <c r="P75" s="543" t="s">
        <v>162</v>
      </c>
      <c r="Q75" s="543">
        <f t="shared" si="11"/>
        <v>1</v>
      </c>
      <c r="R75" s="519"/>
      <c r="S75" s="543"/>
    </row>
    <row r="76" spans="1:19" x14ac:dyDescent="0.2">
      <c r="A76" s="215" t="s">
        <v>647</v>
      </c>
      <c r="B76" s="119" t="s">
        <v>648</v>
      </c>
      <c r="C76" s="543">
        <v>350</v>
      </c>
      <c r="D76" s="543" t="s">
        <v>398</v>
      </c>
      <c r="E76" s="543"/>
      <c r="F76" s="519" t="s">
        <v>80</v>
      </c>
      <c r="G76" s="543"/>
      <c r="H76" s="519" t="s">
        <v>540</v>
      </c>
      <c r="I76" s="543"/>
      <c r="J76" s="543" t="s">
        <v>647</v>
      </c>
      <c r="K76" s="543" t="s">
        <v>162</v>
      </c>
      <c r="L76" s="543">
        <f t="shared" si="9"/>
        <v>2</v>
      </c>
      <c r="M76" s="543" t="str">
        <f t="shared" si="12"/>
        <v>Same distinctiveness or better habitat required ≥</v>
      </c>
      <c r="N76" s="543" t="s">
        <v>162</v>
      </c>
      <c r="O76" s="543">
        <f t="shared" si="10"/>
        <v>1</v>
      </c>
      <c r="P76" s="543" t="s">
        <v>162</v>
      </c>
      <c r="Q76" s="543">
        <f t="shared" si="11"/>
        <v>1</v>
      </c>
      <c r="R76" s="519" t="s">
        <v>649</v>
      </c>
      <c r="S76" s="543"/>
    </row>
    <row r="77" spans="1:19" ht="15" thickBot="1" x14ac:dyDescent="0.25">
      <c r="A77" s="215" t="s">
        <v>650</v>
      </c>
      <c r="B77" s="217" t="s">
        <v>651</v>
      </c>
      <c r="C77" s="525">
        <v>231</v>
      </c>
      <c r="D77" s="525" t="s">
        <v>398</v>
      </c>
      <c r="E77" s="525"/>
      <c r="F77" s="507" t="s">
        <v>80</v>
      </c>
      <c r="G77" s="525"/>
      <c r="H77" s="507" t="s">
        <v>540</v>
      </c>
      <c r="I77" s="525"/>
      <c r="J77" s="525" t="s">
        <v>650</v>
      </c>
      <c r="K77" s="525" t="s">
        <v>162</v>
      </c>
      <c r="L77" s="525">
        <f t="shared" ref="L77:L98" si="13">IF(K77=$V$3,$W$3,IF(K77=$V$3,$W$3,IF(K77=$V$4,$W$4,IF(K77=$V$5,$W$5,IF(K77=$V$6,$W$6,IF(K77=$V$7,$W$7))))))</f>
        <v>2</v>
      </c>
      <c r="M77" s="525" t="str">
        <f t="shared" si="12"/>
        <v>Same distinctiveness or better habitat required ≥</v>
      </c>
      <c r="N77" s="525" t="s">
        <v>162</v>
      </c>
      <c r="O77" s="525">
        <f t="shared" si="10"/>
        <v>1</v>
      </c>
      <c r="P77" s="525" t="s">
        <v>162</v>
      </c>
      <c r="Q77" s="525">
        <f t="shared" si="11"/>
        <v>1</v>
      </c>
      <c r="R77" s="507"/>
      <c r="S77" s="525"/>
    </row>
    <row r="78" spans="1:19" x14ac:dyDescent="0.2">
      <c r="A78" s="215" t="s">
        <v>652</v>
      </c>
      <c r="B78" s="218" t="s">
        <v>653</v>
      </c>
      <c r="C78" s="520" t="s">
        <v>654</v>
      </c>
      <c r="D78" s="520" t="s">
        <v>398</v>
      </c>
      <c r="E78" s="520"/>
      <c r="F78" s="506" t="s">
        <v>81</v>
      </c>
      <c r="G78" s="520"/>
      <c r="H78" s="506" t="s">
        <v>655</v>
      </c>
      <c r="I78" s="520" t="s">
        <v>654</v>
      </c>
      <c r="J78" s="575" t="s">
        <v>652</v>
      </c>
      <c r="K78" s="520" t="s">
        <v>401</v>
      </c>
      <c r="L78" s="520">
        <f t="shared" si="13"/>
        <v>8</v>
      </c>
      <c r="M78" s="520" t="str">
        <f t="shared" si="12"/>
        <v>Bespoke compensation likely to be required 🛠</v>
      </c>
      <c r="N78" s="520" t="s">
        <v>157</v>
      </c>
      <c r="O78" s="520">
        <f t="shared" si="10"/>
        <v>0.1</v>
      </c>
      <c r="P78" s="520" t="s">
        <v>159</v>
      </c>
      <c r="Q78" s="520">
        <f t="shared" si="11"/>
        <v>0.33</v>
      </c>
      <c r="R78" s="506"/>
      <c r="S78" s="520"/>
    </row>
    <row r="79" spans="1:19" x14ac:dyDescent="0.2">
      <c r="A79" s="215" t="s">
        <v>656</v>
      </c>
      <c r="B79" s="119" t="s">
        <v>657</v>
      </c>
      <c r="C79" s="543">
        <v>24</v>
      </c>
      <c r="D79" s="543" t="s">
        <v>398</v>
      </c>
      <c r="E79" s="543" t="s">
        <v>658</v>
      </c>
      <c r="F79" s="519" t="s">
        <v>81</v>
      </c>
      <c r="G79" s="543" t="s">
        <v>659</v>
      </c>
      <c r="H79" s="519" t="s">
        <v>655</v>
      </c>
      <c r="I79" s="543"/>
      <c r="J79" s="576" t="s">
        <v>656</v>
      </c>
      <c r="K79" s="543" t="s">
        <v>401</v>
      </c>
      <c r="L79" s="543">
        <f t="shared" si="13"/>
        <v>8</v>
      </c>
      <c r="M79" s="543" t="str">
        <f t="shared" si="12"/>
        <v>Bespoke compensation likely to be required 🛠</v>
      </c>
      <c r="N79" s="543" t="s">
        <v>157</v>
      </c>
      <c r="O79" s="543">
        <f t="shared" si="10"/>
        <v>0.1</v>
      </c>
      <c r="P79" s="543" t="s">
        <v>159</v>
      </c>
      <c r="Q79" s="543">
        <f t="shared" si="11"/>
        <v>0.33</v>
      </c>
      <c r="R79" s="519"/>
      <c r="S79" s="543"/>
    </row>
    <row r="80" spans="1:19" x14ac:dyDescent="0.2">
      <c r="A80" s="215" t="s">
        <v>660</v>
      </c>
      <c r="B80" s="119" t="s">
        <v>661</v>
      </c>
      <c r="C80" s="543" t="s">
        <v>662</v>
      </c>
      <c r="D80" s="543" t="s">
        <v>398</v>
      </c>
      <c r="E80" s="543"/>
      <c r="F80" s="519" t="s">
        <v>81</v>
      </c>
      <c r="G80" s="543" t="s">
        <v>663</v>
      </c>
      <c r="H80" s="519" t="s">
        <v>664</v>
      </c>
      <c r="I80" s="543" t="s">
        <v>662</v>
      </c>
      <c r="J80" s="571" t="s">
        <v>665</v>
      </c>
      <c r="K80" s="543" t="s">
        <v>401</v>
      </c>
      <c r="L80" s="543">
        <f t="shared" si="13"/>
        <v>8</v>
      </c>
      <c r="M80" s="543" t="str">
        <f t="shared" si="12"/>
        <v>Bespoke compensation likely to be required 🛠</v>
      </c>
      <c r="N80" s="543" t="s">
        <v>159</v>
      </c>
      <c r="O80" s="543">
        <f t="shared" si="10"/>
        <v>0.33</v>
      </c>
      <c r="P80" s="543" t="s">
        <v>159</v>
      </c>
      <c r="Q80" s="543">
        <f t="shared" si="11"/>
        <v>0.33</v>
      </c>
      <c r="R80" s="519"/>
      <c r="S80" s="543"/>
    </row>
    <row r="81" spans="1:19" x14ac:dyDescent="0.2">
      <c r="A81" s="215" t="s">
        <v>666</v>
      </c>
      <c r="B81" s="119" t="s">
        <v>667</v>
      </c>
      <c r="C81" s="543" t="s">
        <v>668</v>
      </c>
      <c r="D81" s="543" t="s">
        <v>398</v>
      </c>
      <c r="E81" s="543"/>
      <c r="F81" s="519" t="s">
        <v>81</v>
      </c>
      <c r="G81" s="543"/>
      <c r="H81" s="519" t="s">
        <v>655</v>
      </c>
      <c r="I81" s="543" t="s">
        <v>668</v>
      </c>
      <c r="J81" s="571" t="s">
        <v>666</v>
      </c>
      <c r="K81" s="543" t="s">
        <v>401</v>
      </c>
      <c r="L81" s="543">
        <f t="shared" si="13"/>
        <v>8</v>
      </c>
      <c r="M81" s="543" t="str">
        <f t="shared" si="12"/>
        <v>Bespoke compensation likely to be required 🛠</v>
      </c>
      <c r="N81" s="543" t="s">
        <v>157</v>
      </c>
      <c r="O81" s="543">
        <f t="shared" si="10"/>
        <v>0.1</v>
      </c>
      <c r="P81" s="543" t="s">
        <v>159</v>
      </c>
      <c r="Q81" s="543">
        <f t="shared" si="11"/>
        <v>0.33</v>
      </c>
      <c r="R81" s="519"/>
      <c r="S81" s="543"/>
    </row>
    <row r="82" spans="1:19" x14ac:dyDescent="0.2">
      <c r="A82" s="215" t="s">
        <v>669</v>
      </c>
      <c r="B82" s="119" t="s">
        <v>670</v>
      </c>
      <c r="C82" s="543" t="s">
        <v>671</v>
      </c>
      <c r="D82" s="543" t="s">
        <v>398</v>
      </c>
      <c r="E82" s="543"/>
      <c r="F82" s="519" t="s">
        <v>81</v>
      </c>
      <c r="G82" s="543"/>
      <c r="H82" s="519" t="s">
        <v>664</v>
      </c>
      <c r="I82" s="543" t="s">
        <v>672</v>
      </c>
      <c r="J82" s="543" t="s">
        <v>669</v>
      </c>
      <c r="K82" s="543" t="s">
        <v>401</v>
      </c>
      <c r="L82" s="543">
        <f t="shared" si="13"/>
        <v>8</v>
      </c>
      <c r="M82" s="543" t="str">
        <f t="shared" si="12"/>
        <v>Bespoke compensation likely to be required 🛠</v>
      </c>
      <c r="N82" s="543" t="s">
        <v>157</v>
      </c>
      <c r="O82" s="543">
        <f t="shared" si="10"/>
        <v>0.1</v>
      </c>
      <c r="P82" s="543" t="s">
        <v>159</v>
      </c>
      <c r="Q82" s="543">
        <f t="shared" si="11"/>
        <v>0.33</v>
      </c>
      <c r="R82" s="519"/>
      <c r="S82" s="543"/>
    </row>
    <row r="83" spans="1:19" x14ac:dyDescent="0.2">
      <c r="A83" s="215" t="s">
        <v>673</v>
      </c>
      <c r="B83" s="119" t="s">
        <v>674</v>
      </c>
      <c r="C83" s="543" t="s">
        <v>675</v>
      </c>
      <c r="D83" s="543" t="s">
        <v>398</v>
      </c>
      <c r="E83" s="543"/>
      <c r="F83" s="519" t="s">
        <v>81</v>
      </c>
      <c r="G83" s="543"/>
      <c r="H83" s="519" t="s">
        <v>664</v>
      </c>
      <c r="I83" s="543" t="s">
        <v>675</v>
      </c>
      <c r="J83" s="571" t="s">
        <v>673</v>
      </c>
      <c r="K83" s="543" t="s">
        <v>401</v>
      </c>
      <c r="L83" s="543">
        <f t="shared" si="13"/>
        <v>8</v>
      </c>
      <c r="M83" s="543" t="str">
        <f t="shared" si="12"/>
        <v>Bespoke compensation likely to be required 🛠</v>
      </c>
      <c r="N83" s="543" t="s">
        <v>159</v>
      </c>
      <c r="O83" s="543">
        <f t="shared" si="10"/>
        <v>0.33</v>
      </c>
      <c r="P83" s="543" t="s">
        <v>159</v>
      </c>
      <c r="Q83" s="543">
        <f t="shared" si="11"/>
        <v>0.33</v>
      </c>
      <c r="R83" s="519"/>
      <c r="S83" s="543"/>
    </row>
    <row r="84" spans="1:19" x14ac:dyDescent="0.2">
      <c r="A84" s="215" t="s">
        <v>676</v>
      </c>
      <c r="B84" s="119" t="s">
        <v>677</v>
      </c>
      <c r="C84" s="543" t="s">
        <v>678</v>
      </c>
      <c r="D84" s="543" t="s">
        <v>398</v>
      </c>
      <c r="E84" s="543"/>
      <c r="F84" s="519" t="s">
        <v>81</v>
      </c>
      <c r="G84" s="543"/>
      <c r="H84" s="519" t="s">
        <v>664</v>
      </c>
      <c r="I84" s="543" t="s">
        <v>678</v>
      </c>
      <c r="J84" s="571" t="s">
        <v>676</v>
      </c>
      <c r="K84" s="543" t="s">
        <v>159</v>
      </c>
      <c r="L84" s="543">
        <f t="shared" si="13"/>
        <v>6</v>
      </c>
      <c r="M84" s="543" t="str">
        <f t="shared" si="12"/>
        <v>Same habitat required =</v>
      </c>
      <c r="N84" s="543" t="s">
        <v>29</v>
      </c>
      <c r="O84" s="543">
        <f t="shared" si="10"/>
        <v>0.67</v>
      </c>
      <c r="P84" s="543" t="s">
        <v>29</v>
      </c>
      <c r="Q84" s="543">
        <f t="shared" si="11"/>
        <v>0.67</v>
      </c>
      <c r="R84" s="519"/>
      <c r="S84" s="543"/>
    </row>
    <row r="85" spans="1:19" ht="15" thickBot="1" x14ac:dyDescent="0.25">
      <c r="A85" s="215" t="s">
        <v>679</v>
      </c>
      <c r="B85" s="217" t="s">
        <v>680</v>
      </c>
      <c r="C85" s="577" t="s">
        <v>681</v>
      </c>
      <c r="D85" s="525" t="s">
        <v>398</v>
      </c>
      <c r="E85" s="525"/>
      <c r="F85" s="507" t="s">
        <v>81</v>
      </c>
      <c r="G85" s="525"/>
      <c r="H85" s="507" t="s">
        <v>664</v>
      </c>
      <c r="I85" s="525"/>
      <c r="J85" s="578" t="s">
        <v>680</v>
      </c>
      <c r="K85" s="525" t="s">
        <v>401</v>
      </c>
      <c r="L85" s="525">
        <f t="shared" si="13"/>
        <v>8</v>
      </c>
      <c r="M85" s="525" t="str">
        <f t="shared" si="12"/>
        <v>Bespoke compensation likely to be required 🛠</v>
      </c>
      <c r="N85" s="525" t="s">
        <v>157</v>
      </c>
      <c r="O85" s="525">
        <f t="shared" si="10"/>
        <v>0.1</v>
      </c>
      <c r="P85" s="525" t="s">
        <v>159</v>
      </c>
      <c r="Q85" s="525">
        <f t="shared" si="11"/>
        <v>0.33</v>
      </c>
      <c r="R85" s="507"/>
      <c r="S85" s="525"/>
    </row>
    <row r="86" spans="1:19" x14ac:dyDescent="0.2">
      <c r="A86" s="215" t="s">
        <v>682</v>
      </c>
      <c r="B86" s="218" t="s">
        <v>683</v>
      </c>
      <c r="C86" s="520">
        <v>53</v>
      </c>
      <c r="D86" s="520" t="s">
        <v>398</v>
      </c>
      <c r="E86" s="520"/>
      <c r="F86" s="506" t="s">
        <v>82</v>
      </c>
      <c r="G86" s="520"/>
      <c r="H86" s="506" t="s">
        <v>684</v>
      </c>
      <c r="I86" s="520"/>
      <c r="J86" s="520" t="s">
        <v>682</v>
      </c>
      <c r="K86" s="520" t="s">
        <v>159</v>
      </c>
      <c r="L86" s="520">
        <f t="shared" si="13"/>
        <v>6</v>
      </c>
      <c r="M86" s="520" t="str">
        <f t="shared" si="12"/>
        <v>Same habitat required =</v>
      </c>
      <c r="N86" s="520" t="s">
        <v>162</v>
      </c>
      <c r="O86" s="520">
        <f t="shared" si="10"/>
        <v>1</v>
      </c>
      <c r="P86" s="520" t="s">
        <v>162</v>
      </c>
      <c r="Q86" s="520">
        <f t="shared" si="11"/>
        <v>1</v>
      </c>
      <c r="R86" s="506"/>
      <c r="S86" s="520"/>
    </row>
    <row r="87" spans="1:19" x14ac:dyDescent="0.2">
      <c r="A87" s="215" t="s">
        <v>685</v>
      </c>
      <c r="B87" s="119" t="s">
        <v>686</v>
      </c>
      <c r="C87" s="543" t="s">
        <v>687</v>
      </c>
      <c r="D87" s="543" t="s">
        <v>398</v>
      </c>
      <c r="E87" s="543"/>
      <c r="F87" s="519" t="s">
        <v>82</v>
      </c>
      <c r="G87" s="543"/>
      <c r="H87" s="519" t="s">
        <v>688</v>
      </c>
      <c r="I87" s="543" t="s">
        <v>687</v>
      </c>
      <c r="J87" s="571" t="s">
        <v>685</v>
      </c>
      <c r="K87" s="543" t="s">
        <v>159</v>
      </c>
      <c r="L87" s="543">
        <f t="shared" si="13"/>
        <v>6</v>
      </c>
      <c r="M87" s="543" t="str">
        <f t="shared" si="12"/>
        <v>Same habitat required =</v>
      </c>
      <c r="N87" s="543" t="s">
        <v>159</v>
      </c>
      <c r="O87" s="543">
        <f t="shared" si="10"/>
        <v>0.33</v>
      </c>
      <c r="P87" s="543" t="s">
        <v>159</v>
      </c>
      <c r="Q87" s="543">
        <f t="shared" si="11"/>
        <v>0.33</v>
      </c>
      <c r="R87" s="519"/>
      <c r="S87" s="543"/>
    </row>
    <row r="88" spans="1:19" x14ac:dyDescent="0.2">
      <c r="A88" s="215" t="s">
        <v>244</v>
      </c>
      <c r="B88" s="119" t="s">
        <v>689</v>
      </c>
      <c r="C88" s="543" t="s">
        <v>690</v>
      </c>
      <c r="D88" s="543" t="s">
        <v>398</v>
      </c>
      <c r="E88" s="543"/>
      <c r="F88" s="519" t="s">
        <v>82</v>
      </c>
      <c r="G88" s="543"/>
      <c r="H88" s="519" t="s">
        <v>688</v>
      </c>
      <c r="I88" s="543" t="s">
        <v>690</v>
      </c>
      <c r="J88" s="571" t="s">
        <v>244</v>
      </c>
      <c r="K88" s="543" t="s">
        <v>159</v>
      </c>
      <c r="L88" s="543">
        <f t="shared" si="13"/>
        <v>6</v>
      </c>
      <c r="M88" s="543" t="str">
        <f t="shared" si="12"/>
        <v>Same habitat required =</v>
      </c>
      <c r="N88" s="543" t="s">
        <v>159</v>
      </c>
      <c r="O88" s="543">
        <f t="shared" si="10"/>
        <v>0.33</v>
      </c>
      <c r="P88" s="543" t="s">
        <v>159</v>
      </c>
      <c r="Q88" s="543">
        <f t="shared" si="11"/>
        <v>0.33</v>
      </c>
      <c r="R88" s="519"/>
      <c r="S88" s="543"/>
    </row>
    <row r="89" spans="1:19" x14ac:dyDescent="0.2">
      <c r="A89" s="215" t="s">
        <v>691</v>
      </c>
      <c r="B89" s="119" t="s">
        <v>692</v>
      </c>
      <c r="C89" s="543" t="s">
        <v>693</v>
      </c>
      <c r="D89" s="543" t="s">
        <v>398</v>
      </c>
      <c r="E89" s="543"/>
      <c r="F89" s="519" t="s">
        <v>82</v>
      </c>
      <c r="G89" s="543" t="s">
        <v>694</v>
      </c>
      <c r="H89" s="519" t="s">
        <v>695</v>
      </c>
      <c r="I89" s="543" t="s">
        <v>693</v>
      </c>
      <c r="J89" s="571" t="s">
        <v>691</v>
      </c>
      <c r="K89" s="543" t="s">
        <v>159</v>
      </c>
      <c r="L89" s="543">
        <f t="shared" si="13"/>
        <v>6</v>
      </c>
      <c r="M89" s="543" t="str">
        <f t="shared" si="12"/>
        <v>Same habitat required =</v>
      </c>
      <c r="N89" s="543" t="s">
        <v>159</v>
      </c>
      <c r="O89" s="543">
        <f t="shared" si="10"/>
        <v>0.33</v>
      </c>
      <c r="P89" s="543" t="s">
        <v>159</v>
      </c>
      <c r="Q89" s="543">
        <f t="shared" si="11"/>
        <v>0.33</v>
      </c>
      <c r="R89" s="519"/>
      <c r="S89" s="543"/>
    </row>
    <row r="90" spans="1:19" x14ac:dyDescent="0.2">
      <c r="A90" s="215" t="s">
        <v>696</v>
      </c>
      <c r="B90" s="119" t="s">
        <v>697</v>
      </c>
      <c r="C90" s="543" t="s">
        <v>698</v>
      </c>
      <c r="D90" s="543" t="s">
        <v>398</v>
      </c>
      <c r="E90" s="543"/>
      <c r="F90" s="519" t="s">
        <v>82</v>
      </c>
      <c r="G90" s="543"/>
      <c r="H90" s="519" t="s">
        <v>695</v>
      </c>
      <c r="I90" s="543" t="s">
        <v>698</v>
      </c>
      <c r="J90" s="543" t="s">
        <v>696</v>
      </c>
      <c r="K90" s="543" t="s">
        <v>162</v>
      </c>
      <c r="L90" s="543">
        <f t="shared" si="13"/>
        <v>2</v>
      </c>
      <c r="M90" s="543" t="str">
        <f t="shared" si="12"/>
        <v>Same distinctiveness or better habitat required ≥</v>
      </c>
      <c r="N90" s="543" t="s">
        <v>162</v>
      </c>
      <c r="O90" s="543">
        <f t="shared" si="10"/>
        <v>1</v>
      </c>
      <c r="P90" s="543" t="s">
        <v>162</v>
      </c>
      <c r="Q90" s="543">
        <f t="shared" si="11"/>
        <v>1</v>
      </c>
      <c r="R90" s="519"/>
      <c r="S90" s="543"/>
    </row>
    <row r="91" spans="1:19" x14ac:dyDescent="0.2">
      <c r="A91" s="215" t="s">
        <v>699</v>
      </c>
      <c r="B91" s="119" t="s">
        <v>700</v>
      </c>
      <c r="C91" s="543" t="s">
        <v>701</v>
      </c>
      <c r="D91" s="543" t="s">
        <v>398</v>
      </c>
      <c r="E91" s="543"/>
      <c r="F91" s="519" t="s">
        <v>82</v>
      </c>
      <c r="G91" s="543"/>
      <c r="H91" s="519" t="s">
        <v>695</v>
      </c>
      <c r="I91" s="543" t="s">
        <v>701</v>
      </c>
      <c r="J91" s="543" t="s">
        <v>699</v>
      </c>
      <c r="K91" s="543" t="s">
        <v>29</v>
      </c>
      <c r="L91" s="543">
        <f t="shared" si="13"/>
        <v>4</v>
      </c>
      <c r="M91" s="543" t="str">
        <f t="shared" si="12"/>
        <v>Same broad habitat or a higher distinctiveness habitat required (≥)</v>
      </c>
      <c r="N91" s="543" t="s">
        <v>29</v>
      </c>
      <c r="O91" s="543">
        <f t="shared" si="10"/>
        <v>0.67</v>
      </c>
      <c r="P91" s="543" t="s">
        <v>29</v>
      </c>
      <c r="Q91" s="543">
        <f t="shared" si="11"/>
        <v>0.67</v>
      </c>
      <c r="R91" s="519"/>
      <c r="S91" s="543"/>
    </row>
    <row r="92" spans="1:19" x14ac:dyDescent="0.2">
      <c r="A92" s="215" t="s">
        <v>245</v>
      </c>
      <c r="B92" s="119" t="s">
        <v>702</v>
      </c>
      <c r="C92" s="543" t="s">
        <v>703</v>
      </c>
      <c r="D92" s="543" t="s">
        <v>398</v>
      </c>
      <c r="E92" s="543"/>
      <c r="F92" s="519" t="s">
        <v>82</v>
      </c>
      <c r="G92" s="543"/>
      <c r="H92" s="519" t="s">
        <v>688</v>
      </c>
      <c r="I92" s="543" t="s">
        <v>703</v>
      </c>
      <c r="J92" s="543" t="s">
        <v>245</v>
      </c>
      <c r="K92" s="543" t="s">
        <v>29</v>
      </c>
      <c r="L92" s="543">
        <f t="shared" si="13"/>
        <v>4</v>
      </c>
      <c r="M92" s="543" t="str">
        <f t="shared" si="12"/>
        <v>Same broad habitat or a higher distinctiveness habitat required (≥)</v>
      </c>
      <c r="N92" s="543" t="s">
        <v>162</v>
      </c>
      <c r="O92" s="543">
        <f t="shared" si="10"/>
        <v>1</v>
      </c>
      <c r="P92" s="543" t="s">
        <v>162</v>
      </c>
      <c r="Q92" s="543">
        <f t="shared" si="11"/>
        <v>1</v>
      </c>
      <c r="R92" s="519"/>
      <c r="S92" s="543"/>
    </row>
    <row r="93" spans="1:19" x14ac:dyDescent="0.2">
      <c r="A93" s="215" t="s">
        <v>246</v>
      </c>
      <c r="B93" s="119" t="s">
        <v>704</v>
      </c>
      <c r="C93" s="543" t="s">
        <v>705</v>
      </c>
      <c r="D93" s="543" t="s">
        <v>398</v>
      </c>
      <c r="E93" s="543"/>
      <c r="F93" s="519" t="s">
        <v>82</v>
      </c>
      <c r="G93" s="543"/>
      <c r="H93" s="519" t="s">
        <v>688</v>
      </c>
      <c r="I93" s="543" t="s">
        <v>705</v>
      </c>
      <c r="J93" s="543" t="s">
        <v>246</v>
      </c>
      <c r="K93" s="543" t="s">
        <v>29</v>
      </c>
      <c r="L93" s="543">
        <f t="shared" si="13"/>
        <v>4</v>
      </c>
      <c r="M93" s="543" t="str">
        <f t="shared" si="12"/>
        <v>Same broad habitat or a higher distinctiveness habitat required (≥)</v>
      </c>
      <c r="N93" s="543" t="s">
        <v>162</v>
      </c>
      <c r="O93" s="543">
        <f t="shared" ref="O93:O98" si="14">VLOOKUP(N93,Difficulty,2,FALSE)</f>
        <v>1</v>
      </c>
      <c r="P93" s="543" t="s">
        <v>162</v>
      </c>
      <c r="Q93" s="543">
        <f t="shared" ref="Q93:Q98" si="15">VLOOKUP(P93,Difficulty,2,FALSE)</f>
        <v>1</v>
      </c>
      <c r="R93" s="519"/>
      <c r="S93" s="543"/>
    </row>
    <row r="94" spans="1:19" x14ac:dyDescent="0.2">
      <c r="A94" s="215" t="s">
        <v>706</v>
      </c>
      <c r="B94" s="119" t="s">
        <v>707</v>
      </c>
      <c r="C94" s="543" t="s">
        <v>708</v>
      </c>
      <c r="D94" s="543" t="s">
        <v>398</v>
      </c>
      <c r="E94" s="543"/>
      <c r="F94" s="519" t="s">
        <v>82</v>
      </c>
      <c r="G94" s="543"/>
      <c r="H94" s="519" t="s">
        <v>688</v>
      </c>
      <c r="I94" s="543" t="s">
        <v>708</v>
      </c>
      <c r="J94" s="571" t="s">
        <v>706</v>
      </c>
      <c r="K94" s="543" t="s">
        <v>159</v>
      </c>
      <c r="L94" s="543">
        <f t="shared" si="13"/>
        <v>6</v>
      </c>
      <c r="M94" s="543" t="str">
        <f t="shared" si="12"/>
        <v>Same habitat required =</v>
      </c>
      <c r="N94" s="543" t="s">
        <v>29</v>
      </c>
      <c r="O94" s="543">
        <f t="shared" si="14"/>
        <v>0.67</v>
      </c>
      <c r="P94" s="543" t="s">
        <v>29</v>
      </c>
      <c r="Q94" s="543">
        <f t="shared" si="15"/>
        <v>0.67</v>
      </c>
      <c r="R94" s="519"/>
      <c r="S94" s="543"/>
    </row>
    <row r="95" spans="1:19" x14ac:dyDescent="0.2">
      <c r="A95" s="215" t="s">
        <v>709</v>
      </c>
      <c r="B95" s="119" t="s">
        <v>710</v>
      </c>
      <c r="C95" s="543" t="s">
        <v>711</v>
      </c>
      <c r="D95" s="543" t="s">
        <v>398</v>
      </c>
      <c r="E95" s="543"/>
      <c r="F95" s="519" t="s">
        <v>82</v>
      </c>
      <c r="G95" s="543"/>
      <c r="H95" s="519" t="s">
        <v>688</v>
      </c>
      <c r="I95" s="543" t="s">
        <v>711</v>
      </c>
      <c r="J95" s="571" t="s">
        <v>709</v>
      </c>
      <c r="K95" s="543" t="s">
        <v>159</v>
      </c>
      <c r="L95" s="543">
        <f t="shared" si="13"/>
        <v>6</v>
      </c>
      <c r="M95" s="543" t="str">
        <f t="shared" si="12"/>
        <v>Same habitat required =</v>
      </c>
      <c r="N95" s="543" t="s">
        <v>159</v>
      </c>
      <c r="O95" s="543">
        <f t="shared" si="14"/>
        <v>0.33</v>
      </c>
      <c r="P95" s="543" t="s">
        <v>159</v>
      </c>
      <c r="Q95" s="543">
        <f t="shared" si="15"/>
        <v>0.33</v>
      </c>
      <c r="R95" s="519"/>
      <c r="S95" s="543"/>
    </row>
    <row r="96" spans="1:19" x14ac:dyDescent="0.2">
      <c r="A96" s="215" t="s">
        <v>712</v>
      </c>
      <c r="B96" s="119" t="s">
        <v>713</v>
      </c>
      <c r="C96" s="543" t="s">
        <v>714</v>
      </c>
      <c r="D96" s="543" t="s">
        <v>398</v>
      </c>
      <c r="E96" s="543" t="s">
        <v>715</v>
      </c>
      <c r="F96" s="519" t="s">
        <v>82</v>
      </c>
      <c r="G96" s="543" t="s">
        <v>716</v>
      </c>
      <c r="H96" s="519" t="s">
        <v>688</v>
      </c>
      <c r="I96" s="543" t="s">
        <v>714</v>
      </c>
      <c r="J96" s="571" t="s">
        <v>712</v>
      </c>
      <c r="K96" s="543" t="s">
        <v>159</v>
      </c>
      <c r="L96" s="543">
        <f t="shared" si="13"/>
        <v>6</v>
      </c>
      <c r="M96" s="543" t="str">
        <f t="shared" si="12"/>
        <v>Same habitat required =</v>
      </c>
      <c r="N96" s="543" t="s">
        <v>159</v>
      </c>
      <c r="O96" s="543">
        <f t="shared" si="14"/>
        <v>0.33</v>
      </c>
      <c r="P96" s="543" t="s">
        <v>159</v>
      </c>
      <c r="Q96" s="543">
        <f t="shared" si="15"/>
        <v>0.33</v>
      </c>
      <c r="R96" s="519"/>
      <c r="S96" s="543"/>
    </row>
    <row r="97" spans="1:19" x14ac:dyDescent="0.2">
      <c r="A97" s="215" t="s">
        <v>717</v>
      </c>
      <c r="B97" s="119" t="s">
        <v>718</v>
      </c>
      <c r="C97" s="543" t="s">
        <v>719</v>
      </c>
      <c r="D97" s="543" t="s">
        <v>398</v>
      </c>
      <c r="E97" s="543"/>
      <c r="F97" s="519" t="s">
        <v>82</v>
      </c>
      <c r="G97" s="543"/>
      <c r="H97" s="519" t="s">
        <v>688</v>
      </c>
      <c r="I97" s="543" t="s">
        <v>719</v>
      </c>
      <c r="J97" s="571" t="s">
        <v>717</v>
      </c>
      <c r="K97" s="543" t="s">
        <v>159</v>
      </c>
      <c r="L97" s="543">
        <f t="shared" si="13"/>
        <v>6</v>
      </c>
      <c r="M97" s="543" t="str">
        <f t="shared" si="12"/>
        <v>Same habitat required =</v>
      </c>
      <c r="N97" s="543" t="s">
        <v>29</v>
      </c>
      <c r="O97" s="543">
        <f t="shared" si="14"/>
        <v>0.67</v>
      </c>
      <c r="P97" s="543" t="s">
        <v>29</v>
      </c>
      <c r="Q97" s="543">
        <f t="shared" si="15"/>
        <v>0.67</v>
      </c>
      <c r="R97" s="519"/>
      <c r="S97" s="543"/>
    </row>
    <row r="98" spans="1:19" ht="15" thickBot="1" x14ac:dyDescent="0.25">
      <c r="A98" s="215" t="s">
        <v>296</v>
      </c>
      <c r="B98" s="217" t="s">
        <v>720</v>
      </c>
      <c r="C98" s="525">
        <v>20</v>
      </c>
      <c r="D98" s="525" t="s">
        <v>398</v>
      </c>
      <c r="E98" s="525"/>
      <c r="F98" s="507" t="s">
        <v>82</v>
      </c>
      <c r="G98" s="525"/>
      <c r="H98" s="507" t="s">
        <v>684</v>
      </c>
      <c r="I98" s="525"/>
      <c r="J98" s="525" t="s">
        <v>296</v>
      </c>
      <c r="K98" s="525" t="s">
        <v>401</v>
      </c>
      <c r="L98" s="525">
        <f t="shared" si="13"/>
        <v>8</v>
      </c>
      <c r="M98" s="525" t="str">
        <f t="shared" si="12"/>
        <v>Bespoke compensation likely to be required 🛠</v>
      </c>
      <c r="N98" s="525" t="s">
        <v>157</v>
      </c>
      <c r="O98" s="525">
        <f t="shared" si="14"/>
        <v>0.1</v>
      </c>
      <c r="P98" s="525" t="s">
        <v>159</v>
      </c>
      <c r="Q98" s="525">
        <f t="shared" si="15"/>
        <v>0.33</v>
      </c>
      <c r="R98" s="507"/>
      <c r="S98" s="525"/>
    </row>
    <row r="99" spans="1:19" ht="15" thickBot="1" x14ac:dyDescent="0.25">
      <c r="A99" s="215" t="s">
        <v>86</v>
      </c>
      <c r="B99" s="219" t="s">
        <v>721</v>
      </c>
      <c r="C99" s="579" t="s">
        <v>722</v>
      </c>
      <c r="D99" s="580" t="s">
        <v>723</v>
      </c>
      <c r="E99" s="580" t="s">
        <v>724</v>
      </c>
      <c r="F99" s="581" t="s">
        <v>86</v>
      </c>
      <c r="G99" s="580"/>
      <c r="H99" s="581" t="s">
        <v>86</v>
      </c>
      <c r="I99" s="581"/>
      <c r="J99" s="580"/>
      <c r="K99" s="581" t="s">
        <v>159</v>
      </c>
      <c r="L99" s="581">
        <f t="shared" ref="L99" si="16">IF(K99=$V$3,$W$3,IF(K99=$V$3,$W$3,IF(K99=$V$4,$W$4,IF(K99=$V$5,$W$5,IF(K99=$V$6,$W$6,IF(K99=$V$7,$W$7))))))</f>
        <v>6</v>
      </c>
      <c r="M99" s="581" t="str">
        <f t="shared" si="12"/>
        <v>Same habitat required =</v>
      </c>
      <c r="N99" s="581" t="s">
        <v>29</v>
      </c>
      <c r="O99" s="581">
        <f t="shared" ref="O99" si="17">VLOOKUP(N99,Difficulty,2,FALSE)</f>
        <v>0.67</v>
      </c>
      <c r="P99" s="581" t="s">
        <v>29</v>
      </c>
      <c r="Q99" s="581">
        <f t="shared" ref="Q99" si="18">VLOOKUP(P99,Difficulty,2,FALSE)</f>
        <v>0.67</v>
      </c>
      <c r="R99" s="582"/>
      <c r="S99" s="581"/>
    </row>
    <row r="100" spans="1:19" x14ac:dyDescent="0.2">
      <c r="A100" s="215" t="s">
        <v>725</v>
      </c>
      <c r="B100" s="218" t="s">
        <v>726</v>
      </c>
      <c r="C100" s="583" t="s">
        <v>727</v>
      </c>
      <c r="D100" s="584" t="s">
        <v>723</v>
      </c>
      <c r="E100" s="584" t="s">
        <v>728</v>
      </c>
      <c r="F100" s="520" t="s">
        <v>85</v>
      </c>
      <c r="G100" s="584"/>
      <c r="H100" s="520" t="s">
        <v>725</v>
      </c>
      <c r="I100" s="520"/>
      <c r="J100" s="584"/>
      <c r="K100" s="520" t="s">
        <v>159</v>
      </c>
      <c r="L100" s="520">
        <f t="shared" ref="L100:L124" si="19">IF(K100=$V$3,$W$3,IF(K100=$V$3,$W$3,IF(K100=$V$4,$W$4,IF(K100=$V$5,$W$5,IF(K100=$V$6,$W$6,IF(K100=$V$7,$W$7))))))</f>
        <v>6</v>
      </c>
      <c r="M100" s="520" t="str">
        <f t="shared" si="12"/>
        <v>Same habitat required =</v>
      </c>
      <c r="N100" s="520" t="s">
        <v>159</v>
      </c>
      <c r="O100" s="520">
        <f t="shared" ref="O100:O124" si="20">VLOOKUP(N100,Difficulty,2,FALSE)</f>
        <v>0.33</v>
      </c>
      <c r="P100" s="520" t="s">
        <v>29</v>
      </c>
      <c r="Q100" s="520">
        <f t="shared" ref="Q100:Q124" si="21">VLOOKUP(P100,Difficulty,2,FALSE)</f>
        <v>0.67</v>
      </c>
      <c r="R100" s="506"/>
      <c r="S100" s="520"/>
    </row>
    <row r="101" spans="1:19" x14ac:dyDescent="0.2">
      <c r="A101" s="220" t="s">
        <v>729</v>
      </c>
      <c r="B101" s="119" t="s">
        <v>730</v>
      </c>
      <c r="C101" s="583" t="s">
        <v>731</v>
      </c>
      <c r="D101" s="585" t="s">
        <v>723</v>
      </c>
      <c r="E101" s="585" t="s">
        <v>728</v>
      </c>
      <c r="F101" s="543" t="s">
        <v>85</v>
      </c>
      <c r="G101" s="585"/>
      <c r="H101" s="571" t="s">
        <v>732</v>
      </c>
      <c r="I101" s="543"/>
      <c r="J101" s="585"/>
      <c r="K101" s="543" t="s">
        <v>401</v>
      </c>
      <c r="L101" s="543">
        <f t="shared" si="19"/>
        <v>8</v>
      </c>
      <c r="M101" s="543" t="str">
        <f t="shared" si="12"/>
        <v>Bespoke compensation likely to be required 🛠</v>
      </c>
      <c r="N101" s="543" t="s">
        <v>157</v>
      </c>
      <c r="O101" s="543">
        <f t="shared" si="20"/>
        <v>0.1</v>
      </c>
      <c r="P101" s="543" t="s">
        <v>29</v>
      </c>
      <c r="Q101" s="543">
        <f t="shared" si="21"/>
        <v>0.67</v>
      </c>
      <c r="R101" s="519"/>
      <c r="S101" s="543"/>
    </row>
    <row r="102" spans="1:19" x14ac:dyDescent="0.2">
      <c r="A102" s="215" t="s">
        <v>733</v>
      </c>
      <c r="B102" s="119" t="s">
        <v>734</v>
      </c>
      <c r="C102" s="570" t="s">
        <v>735</v>
      </c>
      <c r="D102" s="585" t="s">
        <v>723</v>
      </c>
      <c r="E102" s="585" t="s">
        <v>728</v>
      </c>
      <c r="F102" s="543" t="s">
        <v>85</v>
      </c>
      <c r="G102" s="585"/>
      <c r="H102" s="543" t="s">
        <v>733</v>
      </c>
      <c r="I102" s="543"/>
      <c r="J102" s="585"/>
      <c r="K102" s="543" t="s">
        <v>159</v>
      </c>
      <c r="L102" s="543">
        <f t="shared" si="19"/>
        <v>6</v>
      </c>
      <c r="M102" s="543" t="str">
        <f t="shared" si="12"/>
        <v>Same habitat required =</v>
      </c>
      <c r="N102" s="543" t="s">
        <v>159</v>
      </c>
      <c r="O102" s="543">
        <f t="shared" si="20"/>
        <v>0.33</v>
      </c>
      <c r="P102" s="543" t="s">
        <v>29</v>
      </c>
      <c r="Q102" s="543">
        <f t="shared" si="21"/>
        <v>0.67</v>
      </c>
      <c r="R102" s="519"/>
      <c r="S102" s="543"/>
    </row>
    <row r="103" spans="1:19" x14ac:dyDescent="0.2">
      <c r="A103" s="220" t="s">
        <v>736</v>
      </c>
      <c r="B103" s="119" t="s">
        <v>737</v>
      </c>
      <c r="C103" s="570" t="s">
        <v>738</v>
      </c>
      <c r="D103" s="585" t="s">
        <v>723</v>
      </c>
      <c r="E103" s="585" t="s">
        <v>728</v>
      </c>
      <c r="F103" s="543" t="s">
        <v>85</v>
      </c>
      <c r="G103" s="585"/>
      <c r="H103" s="571" t="s">
        <v>739</v>
      </c>
      <c r="I103" s="543"/>
      <c r="J103" s="585"/>
      <c r="K103" s="543" t="s">
        <v>401</v>
      </c>
      <c r="L103" s="543">
        <f t="shared" si="19"/>
        <v>8</v>
      </c>
      <c r="M103" s="543" t="str">
        <f t="shared" si="12"/>
        <v>Bespoke compensation likely to be required 🛠</v>
      </c>
      <c r="N103" s="543" t="s">
        <v>157</v>
      </c>
      <c r="O103" s="543">
        <f t="shared" si="20"/>
        <v>0.1</v>
      </c>
      <c r="P103" s="543" t="s">
        <v>29</v>
      </c>
      <c r="Q103" s="543">
        <f t="shared" si="21"/>
        <v>0.67</v>
      </c>
      <c r="R103" s="519"/>
      <c r="S103" s="543"/>
    </row>
    <row r="104" spans="1:19" x14ac:dyDescent="0.2">
      <c r="A104" s="215" t="s">
        <v>740</v>
      </c>
      <c r="B104" s="119" t="s">
        <v>741</v>
      </c>
      <c r="C104" s="570" t="s">
        <v>742</v>
      </c>
      <c r="D104" s="585" t="s">
        <v>723</v>
      </c>
      <c r="E104" s="585" t="s">
        <v>728</v>
      </c>
      <c r="F104" s="543" t="s">
        <v>85</v>
      </c>
      <c r="G104" s="585"/>
      <c r="H104" s="543" t="s">
        <v>740</v>
      </c>
      <c r="I104" s="543"/>
      <c r="J104" s="585"/>
      <c r="K104" s="543" t="s">
        <v>159</v>
      </c>
      <c r="L104" s="543">
        <f t="shared" si="19"/>
        <v>6</v>
      </c>
      <c r="M104" s="543" t="str">
        <f t="shared" si="12"/>
        <v>Same habitat required =</v>
      </c>
      <c r="N104" s="543" t="s">
        <v>159</v>
      </c>
      <c r="O104" s="543">
        <f t="shared" si="20"/>
        <v>0.33</v>
      </c>
      <c r="P104" s="543" t="s">
        <v>29</v>
      </c>
      <c r="Q104" s="543">
        <f t="shared" si="21"/>
        <v>0.67</v>
      </c>
      <c r="R104" s="519"/>
      <c r="S104" s="543"/>
    </row>
    <row r="105" spans="1:19" x14ac:dyDescent="0.2">
      <c r="A105" s="220" t="s">
        <v>743</v>
      </c>
      <c r="B105" s="119" t="s">
        <v>744</v>
      </c>
      <c r="C105" s="570" t="s">
        <v>745</v>
      </c>
      <c r="D105" s="585" t="s">
        <v>723</v>
      </c>
      <c r="E105" s="585" t="s">
        <v>728</v>
      </c>
      <c r="F105" s="543" t="s">
        <v>85</v>
      </c>
      <c r="G105" s="585"/>
      <c r="H105" s="571" t="s">
        <v>746</v>
      </c>
      <c r="I105" s="543"/>
      <c r="J105" s="585"/>
      <c r="K105" s="543" t="s">
        <v>401</v>
      </c>
      <c r="L105" s="543">
        <f t="shared" si="19"/>
        <v>8</v>
      </c>
      <c r="M105" s="543" t="str">
        <f t="shared" si="12"/>
        <v>Bespoke compensation likely to be required 🛠</v>
      </c>
      <c r="N105" s="543" t="s">
        <v>157</v>
      </c>
      <c r="O105" s="543">
        <f t="shared" si="20"/>
        <v>0.1</v>
      </c>
      <c r="P105" s="543" t="s">
        <v>29</v>
      </c>
      <c r="Q105" s="543">
        <f t="shared" si="21"/>
        <v>0.67</v>
      </c>
      <c r="R105" s="519"/>
      <c r="S105" s="543"/>
    </row>
    <row r="106" spans="1:19" x14ac:dyDescent="0.2">
      <c r="A106" s="215" t="s">
        <v>747</v>
      </c>
      <c r="B106" s="119" t="s">
        <v>748</v>
      </c>
      <c r="C106" s="570" t="s">
        <v>749</v>
      </c>
      <c r="D106" s="585" t="s">
        <v>723</v>
      </c>
      <c r="E106" s="585" t="s">
        <v>728</v>
      </c>
      <c r="F106" s="543" t="s">
        <v>85</v>
      </c>
      <c r="G106" s="585"/>
      <c r="H106" s="543" t="s">
        <v>747</v>
      </c>
      <c r="I106" s="543"/>
      <c r="J106" s="585"/>
      <c r="K106" s="543" t="s">
        <v>159</v>
      </c>
      <c r="L106" s="543">
        <f t="shared" si="19"/>
        <v>6</v>
      </c>
      <c r="M106" s="543" t="str">
        <f t="shared" si="12"/>
        <v>Same habitat required =</v>
      </c>
      <c r="N106" s="543" t="s">
        <v>159</v>
      </c>
      <c r="O106" s="543">
        <f t="shared" si="20"/>
        <v>0.33</v>
      </c>
      <c r="P106" s="543" t="s">
        <v>29</v>
      </c>
      <c r="Q106" s="543">
        <f t="shared" si="21"/>
        <v>0.67</v>
      </c>
      <c r="R106" s="519"/>
      <c r="S106" s="543"/>
    </row>
    <row r="107" spans="1:19" ht="15" thickBot="1" x14ac:dyDescent="0.25">
      <c r="A107" s="220" t="s">
        <v>750</v>
      </c>
      <c r="B107" s="217" t="s">
        <v>751</v>
      </c>
      <c r="C107" s="577" t="s">
        <v>752</v>
      </c>
      <c r="D107" s="586" t="s">
        <v>723</v>
      </c>
      <c r="E107" s="586" t="s">
        <v>728</v>
      </c>
      <c r="F107" s="525" t="s">
        <v>85</v>
      </c>
      <c r="G107" s="586"/>
      <c r="H107" s="574" t="s">
        <v>753</v>
      </c>
      <c r="I107" s="525"/>
      <c r="J107" s="586"/>
      <c r="K107" s="525" t="s">
        <v>401</v>
      </c>
      <c r="L107" s="525">
        <f t="shared" si="19"/>
        <v>8</v>
      </c>
      <c r="M107" s="525" t="str">
        <f t="shared" si="12"/>
        <v>Bespoke compensation likely to be required 🛠</v>
      </c>
      <c r="N107" s="525" t="s">
        <v>157</v>
      </c>
      <c r="O107" s="525">
        <f t="shared" si="20"/>
        <v>0.1</v>
      </c>
      <c r="P107" s="525" t="s">
        <v>29</v>
      </c>
      <c r="Q107" s="525">
        <f t="shared" si="21"/>
        <v>0.67</v>
      </c>
      <c r="R107" s="507"/>
      <c r="S107" s="525"/>
    </row>
    <row r="108" spans="1:19" x14ac:dyDescent="0.2">
      <c r="A108" s="215" t="s">
        <v>754</v>
      </c>
      <c r="B108" s="218" t="s">
        <v>755</v>
      </c>
      <c r="C108" s="583" t="s">
        <v>756</v>
      </c>
      <c r="D108" s="584" t="s">
        <v>723</v>
      </c>
      <c r="E108" s="584" t="s">
        <v>757</v>
      </c>
      <c r="F108" s="520" t="s">
        <v>84</v>
      </c>
      <c r="G108" s="584"/>
      <c r="H108" s="520" t="s">
        <v>758</v>
      </c>
      <c r="I108" s="520"/>
      <c r="J108" s="584"/>
      <c r="K108" s="520" t="s">
        <v>159</v>
      </c>
      <c r="L108" s="520">
        <f>IF(K108=$V$3,$W$3,IF(K108=$V$3,$W$3,IF(K108=$V$4,$W$4,IF(K108=$V$5,$W$5,IF(K108=$V$6,$W$6,IF(K108=$V$7,$W$7))))))</f>
        <v>6</v>
      </c>
      <c r="M108" s="520" t="str">
        <f>IF($K108=$V$3,$X$3,IF($K108=$V$4,$X$4,IF($K108=$V$5,$X$5,IF($K108=$V$6,$X$6,IF($K108=$V$7,$X$7)))))</f>
        <v>Same habitat required =</v>
      </c>
      <c r="N108" s="520" t="s">
        <v>159</v>
      </c>
      <c r="O108" s="520">
        <f>VLOOKUP(N108,Difficulty,2,FALSE)</f>
        <v>0.33</v>
      </c>
      <c r="P108" s="520" t="s">
        <v>29</v>
      </c>
      <c r="Q108" s="520">
        <f>VLOOKUP(P108,Difficulty,2,FALSE)</f>
        <v>0.67</v>
      </c>
      <c r="R108" s="506"/>
      <c r="S108" s="520"/>
    </row>
    <row r="109" spans="1:19" ht="15" thickBot="1" x14ac:dyDescent="0.25">
      <c r="A109" s="215" t="s">
        <v>759</v>
      </c>
      <c r="B109" s="217" t="s">
        <v>760</v>
      </c>
      <c r="C109" s="577" t="s">
        <v>761</v>
      </c>
      <c r="D109" s="586"/>
      <c r="E109" s="586"/>
      <c r="F109" s="525" t="s">
        <v>84</v>
      </c>
      <c r="G109" s="586"/>
      <c r="H109" s="525" t="s">
        <v>759</v>
      </c>
      <c r="I109" s="525"/>
      <c r="J109" s="586"/>
      <c r="K109" s="525" t="s">
        <v>162</v>
      </c>
      <c r="L109" s="525">
        <f>IF(K109=$V$3,$W$3,IF(K109=$V$3,$W$3,IF(K109=$V$4,$W$4,IF(K109=$V$5,$W$5,IF(K109=$V$6,$W$6,IF(K109=$V$7,$W$7))))))</f>
        <v>2</v>
      </c>
      <c r="M109" s="525" t="str">
        <f>IF($K109=$V$3,$X$3,IF($K109=$V$4,$X$4,IF($K109=$V$5,$X$5,IF($K109=$V$6,$X$6,IF($K109=$V$7,$X$7)))))</f>
        <v>Same distinctiveness or better habitat required ≥</v>
      </c>
      <c r="N109" s="525" t="s">
        <v>159</v>
      </c>
      <c r="O109" s="525">
        <f>VLOOKUP(N109,Difficulty,2,FALSE)</f>
        <v>0.33</v>
      </c>
      <c r="P109" s="525" t="s">
        <v>29</v>
      </c>
      <c r="Q109" s="525">
        <f t="shared" ref="Q109" si="22">VLOOKUP(P109,Difficulty,2,FALSE)</f>
        <v>0.67</v>
      </c>
      <c r="R109" s="507"/>
      <c r="S109" s="525"/>
    </row>
    <row r="110" spans="1:19" x14ac:dyDescent="0.2">
      <c r="A110" s="215" t="s">
        <v>762</v>
      </c>
      <c r="B110" s="218" t="s">
        <v>763</v>
      </c>
      <c r="C110" s="583" t="s">
        <v>764</v>
      </c>
      <c r="D110" s="584" t="s">
        <v>723</v>
      </c>
      <c r="E110" s="584" t="s">
        <v>757</v>
      </c>
      <c r="F110" s="520" t="s">
        <v>83</v>
      </c>
      <c r="G110" s="584"/>
      <c r="H110" s="520" t="s">
        <v>762</v>
      </c>
      <c r="I110" s="520"/>
      <c r="J110" s="584"/>
      <c r="K110" s="520" t="s">
        <v>29</v>
      </c>
      <c r="L110" s="520">
        <f t="shared" si="19"/>
        <v>4</v>
      </c>
      <c r="M110" s="520" t="str">
        <f t="shared" si="12"/>
        <v>Same broad habitat or a higher distinctiveness habitat required (≥)</v>
      </c>
      <c r="N110" s="520" t="s">
        <v>29</v>
      </c>
      <c r="O110" s="520">
        <f t="shared" si="20"/>
        <v>0.67</v>
      </c>
      <c r="P110" s="520" t="s">
        <v>29</v>
      </c>
      <c r="Q110" s="520">
        <f t="shared" si="21"/>
        <v>0.67</v>
      </c>
      <c r="R110" s="506"/>
      <c r="S110" s="520"/>
    </row>
    <row r="111" spans="1:19" x14ac:dyDescent="0.2">
      <c r="A111" s="215" t="s">
        <v>765</v>
      </c>
      <c r="B111" s="119" t="s">
        <v>766</v>
      </c>
      <c r="C111" s="570" t="s">
        <v>767</v>
      </c>
      <c r="D111" s="585" t="s">
        <v>723</v>
      </c>
      <c r="E111" s="585" t="s">
        <v>757</v>
      </c>
      <c r="F111" s="543" t="s">
        <v>83</v>
      </c>
      <c r="G111" s="585"/>
      <c r="H111" s="543" t="s">
        <v>765</v>
      </c>
      <c r="I111" s="543"/>
      <c r="J111" s="585"/>
      <c r="K111" s="543" t="s">
        <v>159</v>
      </c>
      <c r="L111" s="543">
        <f t="shared" si="19"/>
        <v>6</v>
      </c>
      <c r="M111" s="543" t="str">
        <f t="shared" si="12"/>
        <v>Same habitat required =</v>
      </c>
      <c r="N111" s="543" t="s">
        <v>159</v>
      </c>
      <c r="O111" s="543">
        <f t="shared" si="20"/>
        <v>0.33</v>
      </c>
      <c r="P111" s="543" t="s">
        <v>29</v>
      </c>
      <c r="Q111" s="543">
        <f t="shared" si="21"/>
        <v>0.67</v>
      </c>
      <c r="R111" s="519"/>
      <c r="S111" s="543"/>
    </row>
    <row r="112" spans="1:19" x14ac:dyDescent="0.2">
      <c r="A112" s="215" t="s">
        <v>768</v>
      </c>
      <c r="B112" s="119" t="s">
        <v>769</v>
      </c>
      <c r="C112" s="570" t="s">
        <v>770</v>
      </c>
      <c r="D112" s="585" t="s">
        <v>723</v>
      </c>
      <c r="E112" s="585" t="s">
        <v>757</v>
      </c>
      <c r="F112" s="543" t="s">
        <v>83</v>
      </c>
      <c r="G112" s="585"/>
      <c r="H112" s="543" t="s">
        <v>768</v>
      </c>
      <c r="I112" s="543"/>
      <c r="J112" s="585"/>
      <c r="K112" s="543" t="s">
        <v>159</v>
      </c>
      <c r="L112" s="543">
        <f t="shared" si="19"/>
        <v>6</v>
      </c>
      <c r="M112" s="543" t="str">
        <f t="shared" si="12"/>
        <v>Same habitat required =</v>
      </c>
      <c r="N112" s="543" t="s">
        <v>159</v>
      </c>
      <c r="O112" s="543">
        <f t="shared" si="20"/>
        <v>0.33</v>
      </c>
      <c r="P112" s="543" t="s">
        <v>29</v>
      </c>
      <c r="Q112" s="543">
        <f t="shared" si="21"/>
        <v>0.67</v>
      </c>
      <c r="R112" s="519"/>
      <c r="S112" s="543"/>
    </row>
    <row r="113" spans="1:19" x14ac:dyDescent="0.2">
      <c r="A113" s="215" t="s">
        <v>771</v>
      </c>
      <c r="B113" s="119" t="s">
        <v>772</v>
      </c>
      <c r="C113" s="570" t="s">
        <v>773</v>
      </c>
      <c r="D113" s="585" t="s">
        <v>723</v>
      </c>
      <c r="E113" s="585" t="s">
        <v>757</v>
      </c>
      <c r="F113" s="543" t="s">
        <v>83</v>
      </c>
      <c r="G113" s="585"/>
      <c r="H113" s="543" t="s">
        <v>774</v>
      </c>
      <c r="I113" s="543"/>
      <c r="J113" s="585"/>
      <c r="K113" s="543" t="s">
        <v>159</v>
      </c>
      <c r="L113" s="543">
        <f t="shared" si="19"/>
        <v>6</v>
      </c>
      <c r="M113" s="543" t="str">
        <f t="shared" si="12"/>
        <v>Same habitat required =</v>
      </c>
      <c r="N113" s="543" t="s">
        <v>159</v>
      </c>
      <c r="O113" s="543">
        <f t="shared" si="20"/>
        <v>0.33</v>
      </c>
      <c r="P113" s="543" t="s">
        <v>159</v>
      </c>
      <c r="Q113" s="543">
        <f t="shared" si="21"/>
        <v>0.33</v>
      </c>
      <c r="R113" s="519"/>
      <c r="S113" s="543"/>
    </row>
    <row r="114" spans="1:19" x14ac:dyDescent="0.2">
      <c r="A114" s="220" t="s">
        <v>775</v>
      </c>
      <c r="B114" s="119" t="s">
        <v>776</v>
      </c>
      <c r="C114" s="570" t="s">
        <v>777</v>
      </c>
      <c r="D114" s="585" t="s">
        <v>723</v>
      </c>
      <c r="E114" s="585" t="s">
        <v>757</v>
      </c>
      <c r="F114" s="543" t="s">
        <v>83</v>
      </c>
      <c r="G114" s="585"/>
      <c r="H114" s="571" t="s">
        <v>778</v>
      </c>
      <c r="I114" s="543"/>
      <c r="J114" s="585"/>
      <c r="K114" s="543" t="s">
        <v>401</v>
      </c>
      <c r="L114" s="543">
        <f t="shared" si="19"/>
        <v>8</v>
      </c>
      <c r="M114" s="543" t="str">
        <f t="shared" si="12"/>
        <v>Bespoke compensation likely to be required 🛠</v>
      </c>
      <c r="N114" s="543" t="s">
        <v>157</v>
      </c>
      <c r="O114" s="543">
        <f t="shared" si="20"/>
        <v>0.1</v>
      </c>
      <c r="P114" s="543" t="s">
        <v>159</v>
      </c>
      <c r="Q114" s="543">
        <f t="shared" si="21"/>
        <v>0.33</v>
      </c>
      <c r="R114" s="519"/>
      <c r="S114" s="543"/>
    </row>
    <row r="115" spans="1:19" x14ac:dyDescent="0.2">
      <c r="A115" s="215" t="s">
        <v>779</v>
      </c>
      <c r="B115" s="119" t="s">
        <v>780</v>
      </c>
      <c r="C115" s="570" t="s">
        <v>781</v>
      </c>
      <c r="D115" s="585"/>
      <c r="E115" s="585"/>
      <c r="F115" s="543" t="s">
        <v>83</v>
      </c>
      <c r="G115" s="585"/>
      <c r="H115" s="543" t="s">
        <v>782</v>
      </c>
      <c r="I115" s="543"/>
      <c r="J115" s="585"/>
      <c r="K115" s="543" t="s">
        <v>159</v>
      </c>
      <c r="L115" s="543">
        <f t="shared" si="19"/>
        <v>6</v>
      </c>
      <c r="M115" s="543" t="str">
        <f t="shared" si="12"/>
        <v>Same habitat required =</v>
      </c>
      <c r="N115" s="543" t="s">
        <v>159</v>
      </c>
      <c r="O115" s="543">
        <f t="shared" si="20"/>
        <v>0.33</v>
      </c>
      <c r="P115" s="543" t="s">
        <v>29</v>
      </c>
      <c r="Q115" s="543">
        <f t="shared" si="21"/>
        <v>0.67</v>
      </c>
      <c r="R115" s="519"/>
      <c r="S115" s="543"/>
    </row>
    <row r="116" spans="1:19" x14ac:dyDescent="0.2">
      <c r="A116" s="215" t="s">
        <v>783</v>
      </c>
      <c r="B116" s="119" t="s">
        <v>784</v>
      </c>
      <c r="C116" s="570" t="s">
        <v>785</v>
      </c>
      <c r="D116" s="585" t="s">
        <v>723</v>
      </c>
      <c r="E116" s="585" t="s">
        <v>757</v>
      </c>
      <c r="F116" s="543" t="s">
        <v>83</v>
      </c>
      <c r="G116" s="585"/>
      <c r="H116" s="543" t="s">
        <v>783</v>
      </c>
      <c r="I116" s="543"/>
      <c r="J116" s="585"/>
      <c r="K116" s="543" t="s">
        <v>159</v>
      </c>
      <c r="L116" s="543">
        <f t="shared" si="19"/>
        <v>6</v>
      </c>
      <c r="M116" s="543" t="str">
        <f t="shared" si="12"/>
        <v>Same habitat required =</v>
      </c>
      <c r="N116" s="543" t="s">
        <v>159</v>
      </c>
      <c r="O116" s="543">
        <f t="shared" si="20"/>
        <v>0.33</v>
      </c>
      <c r="P116" s="543" t="s">
        <v>29</v>
      </c>
      <c r="Q116" s="543">
        <f t="shared" si="21"/>
        <v>0.67</v>
      </c>
      <c r="R116" s="519"/>
      <c r="S116" s="543"/>
    </row>
    <row r="117" spans="1:19" x14ac:dyDescent="0.2">
      <c r="A117" s="215" t="s">
        <v>786</v>
      </c>
      <c r="B117" s="119" t="s">
        <v>787</v>
      </c>
      <c r="C117" s="570" t="s">
        <v>788</v>
      </c>
      <c r="D117" s="585" t="s">
        <v>723</v>
      </c>
      <c r="E117" s="585" t="s">
        <v>757</v>
      </c>
      <c r="F117" s="543" t="s">
        <v>83</v>
      </c>
      <c r="G117" s="585"/>
      <c r="H117" s="543" t="s">
        <v>786</v>
      </c>
      <c r="I117" s="543"/>
      <c r="J117" s="585"/>
      <c r="K117" s="543" t="s">
        <v>159</v>
      </c>
      <c r="L117" s="543">
        <f t="shared" si="19"/>
        <v>6</v>
      </c>
      <c r="M117" s="543" t="str">
        <f t="shared" si="12"/>
        <v>Same habitat required =</v>
      </c>
      <c r="N117" s="543" t="s">
        <v>159</v>
      </c>
      <c r="O117" s="543">
        <f t="shared" si="20"/>
        <v>0.33</v>
      </c>
      <c r="P117" s="543" t="s">
        <v>29</v>
      </c>
      <c r="Q117" s="543">
        <f t="shared" si="21"/>
        <v>0.67</v>
      </c>
      <c r="R117" s="519"/>
      <c r="S117" s="543"/>
    </row>
    <row r="118" spans="1:19" x14ac:dyDescent="0.2">
      <c r="A118" s="215" t="s">
        <v>789</v>
      </c>
      <c r="B118" s="119" t="s">
        <v>790</v>
      </c>
      <c r="C118" s="570" t="s">
        <v>791</v>
      </c>
      <c r="D118" s="585" t="s">
        <v>723</v>
      </c>
      <c r="E118" s="585" t="s">
        <v>757</v>
      </c>
      <c r="F118" s="543" t="s">
        <v>83</v>
      </c>
      <c r="G118" s="585"/>
      <c r="H118" s="543" t="s">
        <v>789</v>
      </c>
      <c r="I118" s="543"/>
      <c r="J118" s="585"/>
      <c r="K118" s="543" t="s">
        <v>162</v>
      </c>
      <c r="L118" s="543">
        <f t="shared" si="19"/>
        <v>2</v>
      </c>
      <c r="M118" s="543" t="str">
        <f t="shared" si="12"/>
        <v>Same distinctiveness or better habitat required ≥</v>
      </c>
      <c r="N118" s="543" t="s">
        <v>29</v>
      </c>
      <c r="O118" s="543">
        <f t="shared" si="20"/>
        <v>0.67</v>
      </c>
      <c r="P118" s="543" t="s">
        <v>29</v>
      </c>
      <c r="Q118" s="543">
        <f t="shared" si="21"/>
        <v>0.67</v>
      </c>
      <c r="R118" s="519"/>
      <c r="S118" s="543"/>
    </row>
    <row r="119" spans="1:19" x14ac:dyDescent="0.2">
      <c r="A119" s="215" t="s">
        <v>792</v>
      </c>
      <c r="B119" s="119" t="s">
        <v>793</v>
      </c>
      <c r="C119" s="570" t="s">
        <v>794</v>
      </c>
      <c r="D119" s="585"/>
      <c r="E119" s="585"/>
      <c r="F119" s="543" t="s">
        <v>83</v>
      </c>
      <c r="G119" s="585"/>
      <c r="H119" s="543" t="s">
        <v>792</v>
      </c>
      <c r="I119" s="543"/>
      <c r="J119" s="585"/>
      <c r="K119" s="543" t="s">
        <v>162</v>
      </c>
      <c r="L119" s="543">
        <f t="shared" si="19"/>
        <v>2</v>
      </c>
      <c r="M119" s="543" t="str">
        <f t="shared" si="12"/>
        <v>Same distinctiveness or better habitat required ≥</v>
      </c>
      <c r="N119" s="543" t="s">
        <v>159</v>
      </c>
      <c r="O119" s="543">
        <f t="shared" si="20"/>
        <v>0.33</v>
      </c>
      <c r="P119" s="543" t="s">
        <v>29</v>
      </c>
      <c r="Q119" s="543">
        <f t="shared" si="21"/>
        <v>0.67</v>
      </c>
      <c r="R119" s="519"/>
      <c r="S119" s="543"/>
    </row>
    <row r="120" spans="1:19" x14ac:dyDescent="0.2">
      <c r="A120" s="215" t="s">
        <v>795</v>
      </c>
      <c r="B120" s="119" t="s">
        <v>796</v>
      </c>
      <c r="C120" s="570" t="s">
        <v>797</v>
      </c>
      <c r="D120" s="585"/>
      <c r="E120" s="585"/>
      <c r="F120" s="543" t="s">
        <v>83</v>
      </c>
      <c r="G120" s="585"/>
      <c r="H120" s="573" t="s">
        <v>795</v>
      </c>
      <c r="I120" s="543"/>
      <c r="J120" s="585"/>
      <c r="K120" s="543" t="s">
        <v>162</v>
      </c>
      <c r="L120" s="543">
        <f t="shared" si="19"/>
        <v>2</v>
      </c>
      <c r="M120" s="543" t="str">
        <f t="shared" si="12"/>
        <v>Same distinctiveness or better habitat required ≥</v>
      </c>
      <c r="N120" s="543" t="s">
        <v>29</v>
      </c>
      <c r="O120" s="543">
        <f t="shared" si="20"/>
        <v>0.67</v>
      </c>
      <c r="P120" s="543" t="s">
        <v>29</v>
      </c>
      <c r="Q120" s="543">
        <f t="shared" si="21"/>
        <v>0.67</v>
      </c>
      <c r="R120" s="519"/>
      <c r="S120" s="543"/>
    </row>
    <row r="121" spans="1:19" x14ac:dyDescent="0.2">
      <c r="A121" s="215" t="s">
        <v>798</v>
      </c>
      <c r="B121" s="119" t="s">
        <v>799</v>
      </c>
      <c r="C121" s="570" t="s">
        <v>800</v>
      </c>
      <c r="D121" s="585" t="s">
        <v>723</v>
      </c>
      <c r="E121" s="585" t="s">
        <v>757</v>
      </c>
      <c r="F121" s="543" t="s">
        <v>83</v>
      </c>
      <c r="G121" s="585"/>
      <c r="H121" s="543" t="s">
        <v>792</v>
      </c>
      <c r="I121" s="543"/>
      <c r="J121" s="585"/>
      <c r="K121" s="543" t="s">
        <v>162</v>
      </c>
      <c r="L121" s="543">
        <f t="shared" si="19"/>
        <v>2</v>
      </c>
      <c r="M121" s="543" t="str">
        <f t="shared" si="12"/>
        <v>Same distinctiveness or better habitat required ≥</v>
      </c>
      <c r="N121" s="543" t="s">
        <v>159</v>
      </c>
      <c r="O121" s="543">
        <f t="shared" si="20"/>
        <v>0.33</v>
      </c>
      <c r="P121" s="543" t="s">
        <v>29</v>
      </c>
      <c r="Q121" s="543">
        <f t="shared" si="21"/>
        <v>0.67</v>
      </c>
      <c r="R121" s="519"/>
      <c r="S121" s="543"/>
    </row>
    <row r="122" spans="1:19" x14ac:dyDescent="0.2">
      <c r="A122" s="215" t="s">
        <v>801</v>
      </c>
      <c r="B122" s="119" t="s">
        <v>802</v>
      </c>
      <c r="C122" s="570" t="s">
        <v>803</v>
      </c>
      <c r="D122" s="585" t="s">
        <v>723</v>
      </c>
      <c r="E122" s="585" t="s">
        <v>757</v>
      </c>
      <c r="F122" s="543" t="s">
        <v>83</v>
      </c>
      <c r="G122" s="585"/>
      <c r="H122" s="543" t="s">
        <v>801</v>
      </c>
      <c r="I122" s="543"/>
      <c r="J122" s="585"/>
      <c r="K122" s="543" t="s">
        <v>162</v>
      </c>
      <c r="L122" s="543">
        <f t="shared" si="19"/>
        <v>2</v>
      </c>
      <c r="M122" s="543" t="str">
        <f t="shared" si="12"/>
        <v>Same distinctiveness or better habitat required ≥</v>
      </c>
      <c r="N122" s="543" t="s">
        <v>159</v>
      </c>
      <c r="O122" s="543">
        <f t="shared" si="20"/>
        <v>0.33</v>
      </c>
      <c r="P122" s="543" t="s">
        <v>29</v>
      </c>
      <c r="Q122" s="543">
        <f t="shared" si="21"/>
        <v>0.67</v>
      </c>
      <c r="R122" s="519"/>
      <c r="S122" s="543"/>
    </row>
    <row r="123" spans="1:19" x14ac:dyDescent="0.2">
      <c r="A123" s="215" t="s">
        <v>804</v>
      </c>
      <c r="B123" s="119" t="s">
        <v>805</v>
      </c>
      <c r="C123" s="570" t="s">
        <v>806</v>
      </c>
      <c r="D123" s="585" t="s">
        <v>723</v>
      </c>
      <c r="E123" s="585" t="s">
        <v>757</v>
      </c>
      <c r="F123" s="543" t="s">
        <v>83</v>
      </c>
      <c r="G123" s="585"/>
      <c r="H123" s="543" t="s">
        <v>804</v>
      </c>
      <c r="I123" s="543"/>
      <c r="J123" s="585"/>
      <c r="K123" s="543" t="s">
        <v>162</v>
      </c>
      <c r="L123" s="543">
        <f t="shared" si="19"/>
        <v>2</v>
      </c>
      <c r="M123" s="543" t="str">
        <f t="shared" si="12"/>
        <v>Same distinctiveness or better habitat required ≥</v>
      </c>
      <c r="N123" s="543" t="s">
        <v>159</v>
      </c>
      <c r="O123" s="543">
        <f t="shared" si="20"/>
        <v>0.33</v>
      </c>
      <c r="P123" s="543" t="s">
        <v>159</v>
      </c>
      <c r="Q123" s="543">
        <f t="shared" si="21"/>
        <v>0.33</v>
      </c>
      <c r="R123" s="519"/>
      <c r="S123" s="543"/>
    </row>
    <row r="124" spans="1:19" x14ac:dyDescent="0.2">
      <c r="A124" s="215" t="s">
        <v>807</v>
      </c>
      <c r="B124" s="119" t="s">
        <v>808</v>
      </c>
      <c r="C124" s="570" t="s">
        <v>809</v>
      </c>
      <c r="D124" s="585" t="s">
        <v>723</v>
      </c>
      <c r="E124" s="585" t="s">
        <v>757</v>
      </c>
      <c r="F124" s="543" t="s">
        <v>83</v>
      </c>
      <c r="G124" s="585"/>
      <c r="H124" s="543" t="s">
        <v>807</v>
      </c>
      <c r="I124" s="543"/>
      <c r="J124" s="585"/>
      <c r="K124" s="543" t="s">
        <v>162</v>
      </c>
      <c r="L124" s="543">
        <f t="shared" si="19"/>
        <v>2</v>
      </c>
      <c r="M124" s="543" t="str">
        <f t="shared" si="12"/>
        <v>Same distinctiveness or better habitat required ≥</v>
      </c>
      <c r="N124" s="543" t="s">
        <v>159</v>
      </c>
      <c r="O124" s="543">
        <f t="shared" si="20"/>
        <v>0.33</v>
      </c>
      <c r="P124" s="543" t="s">
        <v>29</v>
      </c>
      <c r="Q124" s="543">
        <f t="shared" si="21"/>
        <v>0.67</v>
      </c>
      <c r="R124" s="519"/>
      <c r="S124" s="543"/>
    </row>
    <row r="125" spans="1:19" x14ac:dyDescent="0.2">
      <c r="A125" s="156" t="s">
        <v>810</v>
      </c>
      <c r="B125" s="105" t="s">
        <v>811</v>
      </c>
      <c r="C125" s="570" t="s">
        <v>812</v>
      </c>
      <c r="D125" s="585" t="s">
        <v>723</v>
      </c>
      <c r="E125" s="585"/>
      <c r="F125" s="543" t="s">
        <v>83</v>
      </c>
      <c r="G125" s="585"/>
      <c r="H125" s="587" t="s">
        <v>810</v>
      </c>
      <c r="I125" s="543"/>
      <c r="J125" s="585"/>
      <c r="K125" s="543" t="s">
        <v>29</v>
      </c>
      <c r="L125" s="543">
        <f t="shared" ref="L125" si="23">IF(K125=$V$3,$W$3,IF(K125=$V$3,$W$3,IF(K125=$V$4,$W$4,IF(K125=$V$5,$W$5,IF(K125=$V$6,$W$6,IF(K125=$V$7,$W$7))))))</f>
        <v>4</v>
      </c>
      <c r="M125" s="543" t="str">
        <f t="shared" si="12"/>
        <v>Same broad habitat or a higher distinctiveness habitat required (≥)</v>
      </c>
      <c r="N125" s="543" t="s">
        <v>29</v>
      </c>
      <c r="O125" s="543">
        <f t="shared" ref="O125" si="24">VLOOKUP(N125,Difficulty,2,FALSE)</f>
        <v>0.67</v>
      </c>
      <c r="P125" s="543" t="s">
        <v>29</v>
      </c>
      <c r="Q125" s="543">
        <f t="shared" ref="Q125" si="25">VLOOKUP(P125,Difficulty,2,FALSE)</f>
        <v>0.67</v>
      </c>
      <c r="R125" s="519"/>
      <c r="S125" s="543"/>
    </row>
    <row r="126" spans="1:19" ht="15" thickBot="1" x14ac:dyDescent="0.25">
      <c r="A126" s="156" t="s">
        <v>813</v>
      </c>
      <c r="B126" s="221" t="s">
        <v>814</v>
      </c>
      <c r="C126" s="577" t="s">
        <v>815</v>
      </c>
      <c r="D126" s="586" t="s">
        <v>723</v>
      </c>
      <c r="E126" s="586"/>
      <c r="F126" s="525" t="s">
        <v>83</v>
      </c>
      <c r="G126" s="586"/>
      <c r="H126" s="588" t="s">
        <v>813</v>
      </c>
      <c r="I126" s="525"/>
      <c r="J126" s="586"/>
      <c r="K126" s="525" t="s">
        <v>159</v>
      </c>
      <c r="L126" s="525">
        <f t="shared" ref="L126" si="26">IF(K126=$V$3,$W$3,IF(K126=$V$3,$W$3,IF(K126=$V$4,$W$4,IF(K126=$V$5,$W$5,IF(K126=$V$6,$W$6,IF(K126=$V$7,$W$7))))))</f>
        <v>6</v>
      </c>
      <c r="M126" s="525" t="str">
        <f t="shared" si="12"/>
        <v>Same habitat required =</v>
      </c>
      <c r="N126" s="525" t="s">
        <v>159</v>
      </c>
      <c r="O126" s="525">
        <f t="shared" ref="O126" si="27">VLOOKUP(N126,Difficulty,2,FALSE)</f>
        <v>0.33</v>
      </c>
      <c r="P126" s="525" t="s">
        <v>29</v>
      </c>
      <c r="Q126" s="525">
        <f t="shared" ref="Q126" si="28">VLOOKUP(P126,Difficulty,2,FALSE)</f>
        <v>0.67</v>
      </c>
      <c r="R126" s="507"/>
      <c r="S126" s="525"/>
    </row>
    <row r="127" spans="1:19" ht="14.25" customHeight="1" x14ac:dyDescent="0.2">
      <c r="A127" s="156" t="s">
        <v>816</v>
      </c>
      <c r="B127" s="222" t="s">
        <v>817</v>
      </c>
      <c r="C127" s="583" t="s">
        <v>818</v>
      </c>
      <c r="D127" s="584" t="s">
        <v>723</v>
      </c>
      <c r="E127" s="584"/>
      <c r="F127" s="520" t="s">
        <v>87</v>
      </c>
      <c r="G127" s="584"/>
      <c r="H127" s="589" t="s">
        <v>816</v>
      </c>
      <c r="I127" s="520"/>
      <c r="J127" s="584"/>
      <c r="K127" s="520" t="s">
        <v>162</v>
      </c>
      <c r="L127" s="520">
        <f t="shared" ref="L127" si="29">IF(K127=$V$3,$W$3,IF(K127=$V$3,$W$3,IF(K127=$V$4,$W$4,IF(K127=$V$5,$W$5,IF(K127=$V$6,$W$6,IF(K127=$V$7,$W$7))))))</f>
        <v>2</v>
      </c>
      <c r="M127" s="520" t="str">
        <f t="shared" ref="M127:M128" si="30">IF($K127=$V$3,$X$3,IF($K127=$V$4,$X$4,IF($K127=$V$5,$X$5,IF($K127=$V$6,$X$6,IF($K127=$V$7,$X$7)))))</f>
        <v>Same distinctiveness or better habitat required ≥</v>
      </c>
      <c r="N127" s="520" t="s">
        <v>29</v>
      </c>
      <c r="O127" s="520">
        <f t="shared" ref="O127:O129" si="31">VLOOKUP(N127,Difficulty,2,FALSE)</f>
        <v>0.67</v>
      </c>
      <c r="P127" s="520" t="s">
        <v>29</v>
      </c>
      <c r="Q127" s="520">
        <f t="shared" ref="Q127:Q129" si="32">VLOOKUP(P127,Difficulty,2,FALSE)</f>
        <v>0.67</v>
      </c>
      <c r="R127" s="506"/>
      <c r="S127" s="520"/>
    </row>
    <row r="128" spans="1:19" x14ac:dyDescent="0.2">
      <c r="A128" s="156" t="s">
        <v>819</v>
      </c>
      <c r="B128" s="105" t="s">
        <v>820</v>
      </c>
      <c r="C128" s="570" t="s">
        <v>821</v>
      </c>
      <c r="D128" s="585" t="s">
        <v>723</v>
      </c>
      <c r="E128" s="585"/>
      <c r="F128" s="520" t="s">
        <v>87</v>
      </c>
      <c r="G128" s="585"/>
      <c r="H128" s="587" t="s">
        <v>819</v>
      </c>
      <c r="I128" s="543"/>
      <c r="J128" s="585"/>
      <c r="K128" s="520" t="s">
        <v>162</v>
      </c>
      <c r="L128" s="543">
        <f t="shared" ref="L128" si="33">IF(K128=$V$3,$W$3,IF(K128=$V$3,$W$3,IF(K128=$V$4,$W$4,IF(K128=$V$5,$W$5,IF(K128=$V$6,$W$6,IF(K128=$V$7,$W$7))))))</f>
        <v>2</v>
      </c>
      <c r="M128" s="543" t="str">
        <f t="shared" si="30"/>
        <v>Same distinctiveness or better habitat required ≥</v>
      </c>
      <c r="N128" s="543" t="s">
        <v>29</v>
      </c>
      <c r="O128" s="543">
        <f t="shared" si="31"/>
        <v>0.67</v>
      </c>
      <c r="P128" s="543" t="s">
        <v>29</v>
      </c>
      <c r="Q128" s="543">
        <f t="shared" si="32"/>
        <v>0.67</v>
      </c>
      <c r="R128" s="519"/>
      <c r="S128" s="543"/>
    </row>
    <row r="129" spans="1:19" ht="28.5" x14ac:dyDescent="0.2">
      <c r="A129" s="156" t="s">
        <v>822</v>
      </c>
      <c r="B129" s="105" t="s">
        <v>823</v>
      </c>
      <c r="C129" s="570" t="s">
        <v>824</v>
      </c>
      <c r="D129" s="585" t="s">
        <v>723</v>
      </c>
      <c r="E129" s="585"/>
      <c r="F129" s="520" t="s">
        <v>87</v>
      </c>
      <c r="G129" s="585"/>
      <c r="H129" s="587" t="s">
        <v>822</v>
      </c>
      <c r="I129" s="543"/>
      <c r="J129" s="585"/>
      <c r="K129" s="543" t="s">
        <v>29</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29</v>
      </c>
      <c r="O129" s="543">
        <f t="shared" si="31"/>
        <v>0.67</v>
      </c>
      <c r="P129" s="543" t="s">
        <v>29</v>
      </c>
      <c r="Q129" s="543">
        <f t="shared" si="32"/>
        <v>0.67</v>
      </c>
      <c r="R129" s="519"/>
      <c r="S129" s="543"/>
    </row>
    <row r="130" spans="1:19" x14ac:dyDescent="0.2"/>
    <row r="131" spans="1:19" x14ac:dyDescent="0.2"/>
    <row r="132" spans="1:19" x14ac:dyDescent="0.2"/>
    <row r="133" spans="1:19" x14ac:dyDescent="0.2"/>
    <row r="134" spans="1:19" x14ac:dyDescent="0.2"/>
    <row r="135" spans="1:19" x14ac:dyDescent="0.2"/>
    <row r="136" spans="1:19" x14ac:dyDescent="0.2"/>
    <row r="137" spans="1:19" x14ac:dyDescent="0.2"/>
    <row r="138" spans="1:19" x14ac:dyDescent="0.2"/>
    <row r="139" spans="1:19" x14ac:dyDescent="0.2"/>
    <row r="140" spans="1:19" x14ac:dyDescent="0.2"/>
    <row r="144" spans="1:19" x14ac:dyDescent="0.2"/>
    <row r="148" x14ac:dyDescent="0.2"/>
    <row r="149" x14ac:dyDescent="0.2"/>
    <row r="150" x14ac:dyDescent="0.2"/>
    <row r="151" x14ac:dyDescent="0.2"/>
    <row r="152" x14ac:dyDescent="0.2"/>
    <row r="153" x14ac:dyDescent="0.2"/>
    <row r="154" x14ac:dyDescent="0.2"/>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2578125" defaultRowHeight="14.25" x14ac:dyDescent="0.2"/>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x14ac:dyDescent="0.45">
      <c r="A1" s="1044" t="s">
        <v>825</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826</v>
      </c>
      <c r="AK1" s="1042"/>
      <c r="AL1" s="1042"/>
      <c r="AM1" s="1042"/>
      <c r="AN1" s="1042"/>
      <c r="AO1" s="1042"/>
      <c r="AP1" s="1043"/>
      <c r="AU1" s="1041" t="s">
        <v>827</v>
      </c>
      <c r="AV1" s="1042"/>
      <c r="AW1" s="1042"/>
      <c r="AX1" s="1042"/>
      <c r="AY1" s="1042"/>
      <c r="AZ1" s="1042"/>
      <c r="BA1" s="1042"/>
      <c r="BB1" s="1042"/>
      <c r="BC1" s="1042"/>
      <c r="BD1" s="1042"/>
      <c r="BE1" s="1042"/>
      <c r="BF1" s="1042"/>
      <c r="BG1" s="1043"/>
    </row>
    <row r="2" spans="1:59" ht="22.5" x14ac:dyDescent="0.3">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x14ac:dyDescent="0.45">
      <c r="A3" s="103" t="s">
        <v>828</v>
      </c>
      <c r="B3" s="103" t="s">
        <v>166</v>
      </c>
      <c r="C3" s="103" t="s">
        <v>195</v>
      </c>
      <c r="D3" s="103" t="s">
        <v>829</v>
      </c>
      <c r="E3" s="103" t="s">
        <v>830</v>
      </c>
      <c r="F3" s="103" t="s">
        <v>831</v>
      </c>
      <c r="G3" s="103" t="s">
        <v>832</v>
      </c>
      <c r="H3" s="103" t="s">
        <v>833</v>
      </c>
      <c r="I3" s="103" t="s">
        <v>834</v>
      </c>
      <c r="J3" s="103" t="s">
        <v>835</v>
      </c>
      <c r="K3" s="103" t="s">
        <v>836</v>
      </c>
      <c r="L3" s="103" t="s">
        <v>837</v>
      </c>
      <c r="M3" s="103" t="s">
        <v>838</v>
      </c>
      <c r="N3" s="103" t="s">
        <v>839</v>
      </c>
      <c r="O3" s="103" t="s">
        <v>840</v>
      </c>
      <c r="P3" s="103" t="s">
        <v>841</v>
      </c>
      <c r="Q3" s="103" t="s">
        <v>842</v>
      </c>
      <c r="R3" s="103" t="s">
        <v>843</v>
      </c>
      <c r="S3" s="103" t="s">
        <v>844</v>
      </c>
      <c r="T3" s="103" t="s">
        <v>845</v>
      </c>
      <c r="U3" s="103" t="s">
        <v>846</v>
      </c>
      <c r="V3" s="103" t="s">
        <v>847</v>
      </c>
      <c r="W3" s="103" t="s">
        <v>848</v>
      </c>
      <c r="X3" s="103" t="s">
        <v>849</v>
      </c>
      <c r="Y3" s="103" t="s">
        <v>850</v>
      </c>
      <c r="Z3" s="103" t="s">
        <v>851</v>
      </c>
      <c r="AA3" s="103" t="s">
        <v>852</v>
      </c>
      <c r="AB3" s="103" t="s">
        <v>853</v>
      </c>
      <c r="AC3" s="103" t="s">
        <v>854</v>
      </c>
      <c r="AD3" s="103" t="s">
        <v>855</v>
      </c>
      <c r="AE3" s="103" t="s">
        <v>856</v>
      </c>
      <c r="AF3" s="103" t="s">
        <v>857</v>
      </c>
      <c r="AJ3" s="125" t="s">
        <v>858</v>
      </c>
      <c r="AK3" s="127" t="s">
        <v>859</v>
      </c>
      <c r="AL3" s="127" t="s">
        <v>860</v>
      </c>
      <c r="AM3" s="127" t="s">
        <v>861</v>
      </c>
      <c r="AN3" s="127" t="s">
        <v>862</v>
      </c>
      <c r="AO3" s="127" t="s">
        <v>863</v>
      </c>
      <c r="AP3" s="127" t="s">
        <v>167</v>
      </c>
      <c r="AU3" s="114" t="s">
        <v>157</v>
      </c>
      <c r="AV3" s="115"/>
      <c r="AW3" s="116"/>
      <c r="AX3" s="116"/>
      <c r="AY3" s="116"/>
      <c r="AZ3" s="116"/>
      <c r="BA3" s="116"/>
      <c r="BB3" s="116"/>
      <c r="BC3" s="116"/>
      <c r="BD3" s="116"/>
      <c r="BE3" s="116"/>
      <c r="BF3" s="116"/>
      <c r="BG3" s="116"/>
    </row>
    <row r="4" spans="1:59" ht="31.5" x14ac:dyDescent="0.2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75</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179</v>
      </c>
      <c r="AV4" s="127" t="s">
        <v>166</v>
      </c>
      <c r="AW4" s="127" t="s">
        <v>859</v>
      </c>
      <c r="AX4" s="127" t="s">
        <v>864</v>
      </c>
      <c r="AY4" s="127" t="s">
        <v>861</v>
      </c>
      <c r="AZ4" s="127" t="s">
        <v>862</v>
      </c>
      <c r="BA4" s="127" t="s">
        <v>863</v>
      </c>
      <c r="BB4" s="127" t="s">
        <v>167</v>
      </c>
      <c r="BC4" s="127" t="s">
        <v>865</v>
      </c>
      <c r="BD4" s="127" t="s">
        <v>866</v>
      </c>
      <c r="BE4" s="127" t="s">
        <v>867</v>
      </c>
      <c r="BF4" s="127" t="s">
        <v>868</v>
      </c>
      <c r="BG4" s="127" t="s">
        <v>869</v>
      </c>
    </row>
    <row r="5" spans="1:59" ht="14.45" customHeight="1" x14ac:dyDescent="0.2">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76</v>
      </c>
      <c r="AK5" s="100">
        <f t="shared" si="10"/>
        <v>37.841499999999996</v>
      </c>
      <c r="AL5" s="100">
        <f t="shared" si="11"/>
        <v>190.91333999999998</v>
      </c>
      <c r="AM5" s="100">
        <f t="shared" si="12"/>
        <v>37.795099999999998</v>
      </c>
      <c r="AN5" s="100">
        <f t="shared" ca="1" si="13"/>
        <v>323.51214751154203</v>
      </c>
      <c r="AO5" s="111">
        <f t="shared" si="14"/>
        <v>-4.6400000000000219E-2</v>
      </c>
      <c r="AP5" s="111">
        <f t="shared" ca="1" si="15"/>
        <v>132.59880751154205</v>
      </c>
      <c r="AU5" s="119" t="s">
        <v>460</v>
      </c>
      <c r="AV5" s="88" t="s">
        <v>76</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45" customHeight="1" x14ac:dyDescent="0.2">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77</v>
      </c>
      <c r="AK6" s="100">
        <f t="shared" si="10"/>
        <v>0.4098</v>
      </c>
      <c r="AL6" s="100">
        <f t="shared" si="11"/>
        <v>2.8777599999999999</v>
      </c>
      <c r="AM6" s="100">
        <f t="shared" si="12"/>
        <v>0</v>
      </c>
      <c r="AN6" s="100">
        <f t="shared" si="13"/>
        <v>0</v>
      </c>
      <c r="AO6" s="111">
        <f t="shared" si="14"/>
        <v>-0.4098</v>
      </c>
      <c r="AP6" s="111">
        <f t="shared" si="15"/>
        <v>-2.8777599999999999</v>
      </c>
      <c r="AU6" s="119" t="s">
        <v>465</v>
      </c>
      <c r="AV6" s="88" t="s">
        <v>76</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5" customHeight="1" x14ac:dyDescent="0.2">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78</v>
      </c>
      <c r="AK7" s="100">
        <f t="shared" si="10"/>
        <v>4.36E-2</v>
      </c>
      <c r="AL7" s="100">
        <f t="shared" si="11"/>
        <v>0.40111999999999998</v>
      </c>
      <c r="AM7" s="100">
        <f t="shared" si="12"/>
        <v>4.36E-2</v>
      </c>
      <c r="AN7" s="100">
        <f t="shared" ca="1" si="13"/>
        <v>0.51764748601662514</v>
      </c>
      <c r="AO7" s="111">
        <f t="shared" si="14"/>
        <v>0</v>
      </c>
      <c r="AP7" s="111">
        <f t="shared" ca="1" si="15"/>
        <v>0.11652748601662516</v>
      </c>
      <c r="AU7" s="119" t="s">
        <v>488</v>
      </c>
      <c r="AV7" s="88" t="s">
        <v>76</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5" customHeight="1" x14ac:dyDescent="0.2">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79</v>
      </c>
      <c r="AK8" s="100">
        <f t="shared" si="10"/>
        <v>0</v>
      </c>
      <c r="AL8" s="100">
        <f t="shared" si="11"/>
        <v>0</v>
      </c>
      <c r="AM8" s="100">
        <f t="shared" si="12"/>
        <v>0</v>
      </c>
      <c r="AN8" s="100">
        <f t="shared" si="13"/>
        <v>0</v>
      </c>
      <c r="AO8" s="111">
        <f t="shared" si="14"/>
        <v>0</v>
      </c>
      <c r="AP8" s="111">
        <f t="shared" si="15"/>
        <v>0</v>
      </c>
      <c r="AU8" s="119" t="s">
        <v>516</v>
      </c>
      <c r="AV8" s="88" t="s">
        <v>77</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5" customHeight="1" x14ac:dyDescent="0.2">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80</v>
      </c>
      <c r="AK9" s="100">
        <f t="shared" si="10"/>
        <v>0.97340000000000004</v>
      </c>
      <c r="AL9" s="100">
        <f t="shared" si="11"/>
        <v>1.29582</v>
      </c>
      <c r="AM9" s="100">
        <f t="shared" si="12"/>
        <v>0.54249999999999998</v>
      </c>
      <c r="AN9" s="100">
        <f t="shared" si="13"/>
        <v>0</v>
      </c>
      <c r="AO9" s="111">
        <f t="shared" si="14"/>
        <v>-0.43090000000000006</v>
      </c>
      <c r="AP9" s="111">
        <f t="shared" si="15"/>
        <v>-1.29582</v>
      </c>
      <c r="AU9" s="119" t="s">
        <v>534</v>
      </c>
      <c r="AV9" s="88" t="s">
        <v>78</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2">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81</v>
      </c>
      <c r="AK10" s="100">
        <f t="shared" si="10"/>
        <v>0</v>
      </c>
      <c r="AL10" s="100">
        <f t="shared" si="11"/>
        <v>0</v>
      </c>
      <c r="AM10" s="100">
        <f t="shared" si="12"/>
        <v>0</v>
      </c>
      <c r="AN10" s="100">
        <f t="shared" si="13"/>
        <v>0</v>
      </c>
      <c r="AO10" s="111">
        <f t="shared" si="14"/>
        <v>0</v>
      </c>
      <c r="AP10" s="111">
        <f t="shared" si="15"/>
        <v>0</v>
      </c>
      <c r="AU10" s="119" t="s">
        <v>569</v>
      </c>
      <c r="AV10" s="88" t="s">
        <v>79</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5" customHeight="1" x14ac:dyDescent="0.2">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82</v>
      </c>
      <c r="AK11" s="100">
        <f t="shared" si="10"/>
        <v>6.6510999999999996</v>
      </c>
      <c r="AL11" s="100">
        <f t="shared" si="11"/>
        <v>103.14602999999997</v>
      </c>
      <c r="AM11" s="100">
        <f t="shared" si="12"/>
        <v>7.5381999999999998</v>
      </c>
      <c r="AN11" s="100">
        <f t="shared" ca="1" si="13"/>
        <v>115.90799889666741</v>
      </c>
      <c r="AO11" s="111">
        <f t="shared" si="14"/>
        <v>0.8871</v>
      </c>
      <c r="AP11" s="111">
        <f t="shared" ca="1" si="15"/>
        <v>12.76196889666744</v>
      </c>
      <c r="AU11" s="119" t="s">
        <v>589</v>
      </c>
      <c r="AV11" s="88" t="s">
        <v>79</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5" customHeight="1" x14ac:dyDescent="0.2">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83</v>
      </c>
      <c r="AK12" s="100">
        <f t="shared" si="10"/>
        <v>0</v>
      </c>
      <c r="AL12" s="100">
        <f t="shared" si="11"/>
        <v>0</v>
      </c>
      <c r="AM12" s="100">
        <f t="shared" si="12"/>
        <v>0</v>
      </c>
      <c r="AN12" s="100">
        <f t="shared" si="13"/>
        <v>0</v>
      </c>
      <c r="AO12" s="111">
        <f t="shared" si="14"/>
        <v>0</v>
      </c>
      <c r="AP12" s="111">
        <f t="shared" si="15"/>
        <v>0</v>
      </c>
      <c r="AU12" s="119" t="s">
        <v>653</v>
      </c>
      <c r="AV12" s="88" t="s">
        <v>81</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5" customHeight="1" x14ac:dyDescent="0.2">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84</v>
      </c>
      <c r="AK13" s="100">
        <f t="shared" si="10"/>
        <v>0</v>
      </c>
      <c r="AL13" s="100">
        <f t="shared" si="11"/>
        <v>0</v>
      </c>
      <c r="AM13" s="100">
        <f t="shared" si="12"/>
        <v>0</v>
      </c>
      <c r="AN13" s="100">
        <f t="shared" si="13"/>
        <v>0</v>
      </c>
      <c r="AO13" s="111">
        <f t="shared" si="14"/>
        <v>0</v>
      </c>
      <c r="AP13" s="111">
        <f t="shared" si="15"/>
        <v>0</v>
      </c>
      <c r="AU13" s="119" t="s">
        <v>657</v>
      </c>
      <c r="AV13" s="88" t="s">
        <v>81</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5" customHeight="1" x14ac:dyDescent="0.2">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0.74680000000000002</v>
      </c>
      <c r="L14" s="493">
        <f>SUMIF('A-2 Site Habitat Creation'!$F$11:$F$256,'G-2 Habitat groups'!A14,'A-2 Site Habitat Creation'!$Y$11:$Y$256)</f>
        <v>5.3087717720471037</v>
      </c>
      <c r="M14" s="493">
        <f>SUMIF('A-3 Site Habitat Enhancement'!$S$12:$S$257,'G-2 Habitat groups'!A14,'A-3 Site Habitat Enhancement'!$V$12:$V$257)</f>
        <v>9.3899999999999997E-2</v>
      </c>
      <c r="N14" s="493">
        <f ca="1">SUMIF('A-3 Site Habitat Enhancement'!$S$12:$S$257,'G-2 Habitat groups'!A14,'A-3 Site Habitat Enhancement'!$AN$12:$AN$257)</f>
        <v>1.5998123251455376</v>
      </c>
      <c r="O14" s="493">
        <f t="shared" si="0"/>
        <v>0.8407</v>
      </c>
      <c r="P14" s="493">
        <f t="shared" ca="1" si="1"/>
        <v>6.9085840971926409</v>
      </c>
      <c r="Q14" s="493">
        <f t="shared" si="2"/>
        <v>0.8407</v>
      </c>
      <c r="R14" s="493">
        <f t="shared" ca="1" si="3"/>
        <v>6.9085840971926409</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0.8407</v>
      </c>
      <c r="AF14" s="493">
        <f t="shared" ca="1" si="9"/>
        <v>6.9085840971926409</v>
      </c>
      <c r="AJ14" s="110" t="s">
        <v>85</v>
      </c>
      <c r="AK14" s="100">
        <f t="shared" si="10"/>
        <v>0</v>
      </c>
      <c r="AL14" s="100">
        <f t="shared" si="11"/>
        <v>0</v>
      </c>
      <c r="AM14" s="100">
        <f t="shared" si="12"/>
        <v>0</v>
      </c>
      <c r="AN14" s="100">
        <f t="shared" si="13"/>
        <v>0</v>
      </c>
      <c r="AO14" s="111">
        <f t="shared" si="14"/>
        <v>0</v>
      </c>
      <c r="AP14" s="111">
        <f t="shared" si="15"/>
        <v>0</v>
      </c>
      <c r="AU14" s="119" t="s">
        <v>661</v>
      </c>
      <c r="AV14" s="88" t="s">
        <v>81</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2">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0.5171</v>
      </c>
      <c r="F15" s="493">
        <f>SUMIF('A-1 Site Habitat Baseline'!$G$11:$G$258,'G-2 Habitat groups'!A15,'A-1 Site Habitat Baseline'!$Q$11:$Q$258)</f>
        <v>1.18933</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-0.5171</v>
      </c>
      <c r="R15" s="493">
        <f t="shared" si="3"/>
        <v>-1.18933</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-0.5171</v>
      </c>
      <c r="AF15" s="493">
        <f t="shared" si="9"/>
        <v>-1.18933</v>
      </c>
      <c r="AJ15" s="109" t="s">
        <v>86</v>
      </c>
      <c r="AK15" s="100">
        <f t="shared" si="10"/>
        <v>0</v>
      </c>
      <c r="AL15" s="100">
        <f t="shared" si="11"/>
        <v>0</v>
      </c>
      <c r="AM15" s="100">
        <f t="shared" si="12"/>
        <v>0</v>
      </c>
      <c r="AN15" s="100">
        <f t="shared" si="13"/>
        <v>0</v>
      </c>
      <c r="AO15" s="111">
        <f t="shared" si="14"/>
        <v>0</v>
      </c>
      <c r="AP15" s="111">
        <f t="shared" si="15"/>
        <v>0</v>
      </c>
      <c r="AU15" s="119" t="s">
        <v>667</v>
      </c>
      <c r="AV15" s="88" t="s">
        <v>81</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2">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87</v>
      </c>
      <c r="AK16" s="100">
        <f t="shared" si="10"/>
        <v>0</v>
      </c>
      <c r="AL16" s="100">
        <f t="shared" si="11"/>
        <v>0</v>
      </c>
      <c r="AM16" s="100">
        <f t="shared" si="12"/>
        <v>0</v>
      </c>
      <c r="AN16" s="100">
        <f t="shared" si="13"/>
        <v>0</v>
      </c>
      <c r="AO16" s="111">
        <f t="shared" si="14"/>
        <v>0</v>
      </c>
      <c r="AP16" s="111">
        <f t="shared" si="15"/>
        <v>0</v>
      </c>
      <c r="AU16" s="119" t="s">
        <v>670</v>
      </c>
      <c r="AV16" s="88" t="s">
        <v>81</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2">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8.0058000000000007</v>
      </c>
      <c r="F17" s="493">
        <f>SUMIF('A-1 Site Habitat Baseline'!$G$11:$G$258,'G-2 Habitat groups'!A17,'A-1 Site Habitat Baseline'!$Q$11:$Q$258)</f>
        <v>55.240019999999994</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8.0058000000000007</v>
      </c>
      <c r="N17" s="493">
        <f ca="1">SUMIF('A-3 Site Habitat Enhancement'!$S$12:$S$257,'G-2 Habitat groups'!A17,'A-3 Site Habitat Enhancement'!$AN$12:$AN$257)</f>
        <v>68.250238977402262</v>
      </c>
      <c r="O17" s="493">
        <f t="shared" si="0"/>
        <v>8.0058000000000007</v>
      </c>
      <c r="P17" s="493">
        <f t="shared" ca="1" si="1"/>
        <v>68.250238977402262</v>
      </c>
      <c r="Q17" s="493">
        <f t="shared" si="2"/>
        <v>0</v>
      </c>
      <c r="R17" s="493">
        <f t="shared" ca="1" si="3"/>
        <v>13.010218977402268</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ca="1" si="9"/>
        <v>13.010218977402268</v>
      </c>
      <c r="AU17" s="119" t="s">
        <v>674</v>
      </c>
      <c r="AV17" s="88" t="s">
        <v>81</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2">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680</v>
      </c>
      <c r="AV18" s="88" t="s">
        <v>81</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5" x14ac:dyDescent="0.25">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870</v>
      </c>
      <c r="AK19" s="127" t="s">
        <v>859</v>
      </c>
      <c r="AL19" s="127" t="s">
        <v>860</v>
      </c>
      <c r="AM19" s="127" t="s">
        <v>865</v>
      </c>
      <c r="AN19" s="127" t="s">
        <v>871</v>
      </c>
      <c r="AO19" s="127" t="s">
        <v>872</v>
      </c>
      <c r="AP19" s="127" t="s">
        <v>873</v>
      </c>
      <c r="AU19" s="119" t="s">
        <v>720</v>
      </c>
      <c r="AV19" s="119" t="s">
        <v>82</v>
      </c>
      <c r="AW19" s="591">
        <f t="shared" si="27"/>
        <v>0</v>
      </c>
      <c r="AX19" s="591">
        <f t="shared" si="28"/>
        <v>0</v>
      </c>
      <c r="AY19" s="591">
        <f t="shared" si="29"/>
        <v>0.8871</v>
      </c>
      <c r="AZ19" s="591">
        <f t="shared" ca="1" si="30"/>
        <v>6.2338798860708122</v>
      </c>
      <c r="BA19" s="591">
        <f t="shared" si="31"/>
        <v>0.8871</v>
      </c>
      <c r="BB19" s="591">
        <f t="shared" ca="1" si="32"/>
        <v>6.2338798860708122</v>
      </c>
      <c r="BC19" s="591">
        <f t="shared" si="33"/>
        <v>0</v>
      </c>
      <c r="BD19" s="591">
        <f t="shared" si="34"/>
        <v>0</v>
      </c>
      <c r="BE19" s="591">
        <f t="shared" ca="1" si="35"/>
        <v>6.2338798860708122</v>
      </c>
      <c r="BF19" s="591" t="str">
        <f t="shared" ca="1" si="36"/>
        <v/>
      </c>
      <c r="BG19" s="656">
        <f t="shared" si="26"/>
        <v>0</v>
      </c>
    </row>
    <row r="20" spans="1:59" x14ac:dyDescent="0.2">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11.088100000000001</v>
      </c>
      <c r="F20" s="493">
        <f>SUMIF('A-1 Site Habitat Baseline'!$G$11:$G$258,'G-2 Habitat groups'!A20,'A-1 Site Habitat Baseline'!$Q$11:$Q$258)</f>
        <v>50.623689999999996</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v>
      </c>
      <c r="J20" s="493">
        <f>SUMIF('A-1 Site Habitat Baseline'!$G$11:$G$258,'G-2 Habitat groups'!A20,'A-1 Site Habitat Baseline'!$X$11:$X$258)</f>
        <v>0</v>
      </c>
      <c r="K20" s="493">
        <f>SUMIF('A-2 Site Habitat Creation'!$F$11:$F$256,'G-2 Habitat groups'!A20,'A-2 Site Habitat Creation'!$G$11:$G$256)</f>
        <v>0</v>
      </c>
      <c r="L20" s="493">
        <f>SUMIF('A-2 Site Habitat Creation'!$F$11:$F$256,'G-2 Habitat groups'!A20,'A-2 Site Habitat Creation'!$Y$11:$Y$256)</f>
        <v>0</v>
      </c>
      <c r="M20" s="493">
        <f>SUMIF('A-3 Site Habitat Enhancement'!$S$12:$S$257,'G-2 Habitat groups'!A20,'A-3 Site Habitat Enhancement'!$V$12:$V$257)</f>
        <v>0.16589999999999999</v>
      </c>
      <c r="N20" s="493">
        <f ca="1">SUMIF('A-3 Site Habitat Enhancement'!$S$12:$S$257,'G-2 Habitat groups'!A20,'A-3 Site Habitat Enhancement'!$AN$12:$AN$257)</f>
        <v>0.82878248337926996</v>
      </c>
      <c r="O20" s="493">
        <f t="shared" si="0"/>
        <v>0.16589999999999999</v>
      </c>
      <c r="P20" s="493">
        <f t="shared" ca="1" si="1"/>
        <v>0.82878248337926996</v>
      </c>
      <c r="Q20" s="493">
        <f t="shared" si="2"/>
        <v>-10.9222</v>
      </c>
      <c r="R20" s="493">
        <f t="shared" ca="1" si="3"/>
        <v>-49.794907516620725</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-10.9222</v>
      </c>
      <c r="AF20" s="493">
        <f t="shared" ca="1" si="9"/>
        <v>-49.794907516620725</v>
      </c>
      <c r="AJ20" s="106" t="s">
        <v>75</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730</v>
      </c>
      <c r="AV20" s="88" t="s">
        <v>874</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2">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0.65229999999999999</v>
      </c>
      <c r="F21" s="493">
        <f>SUMIF('A-1 Site Habitat Baseline'!$G$11:$G$258,'G-2 Habitat groups'!A21,'A-1 Site Habitat Baseline'!$Q$11:$Q$258)</f>
        <v>3.0005799999999998</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1.1694</v>
      </c>
      <c r="N21" s="493">
        <f ca="1">SUMIF('A-3 Site Habitat Enhancement'!$S$12:$S$257,'G-2 Habitat groups'!A21,'A-3 Site Habitat Enhancement'!$AN$12:$AN$257)</f>
        <v>9.7759968494206095</v>
      </c>
      <c r="O21" s="493">
        <f t="shared" si="0"/>
        <v>1.1694</v>
      </c>
      <c r="P21" s="493">
        <f t="shared" ca="1" si="1"/>
        <v>9.7759968494206095</v>
      </c>
      <c r="Q21" s="493">
        <f t="shared" si="2"/>
        <v>0.5171</v>
      </c>
      <c r="R21" s="493">
        <f t="shared" ca="1" si="3"/>
        <v>6.7754168494206102</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0.5171</v>
      </c>
      <c r="AF21" s="493">
        <f t="shared" ca="1" si="9"/>
        <v>6.7754168494206102</v>
      </c>
      <c r="AJ21" s="107" t="s">
        <v>76</v>
      </c>
      <c r="AK21" s="100">
        <f t="shared" si="37"/>
        <v>0</v>
      </c>
      <c r="AL21" s="100">
        <f t="shared" si="38"/>
        <v>0</v>
      </c>
      <c r="AM21" s="100">
        <f t="shared" si="39"/>
        <v>0</v>
      </c>
      <c r="AN21" s="100">
        <f t="shared" si="40"/>
        <v>0</v>
      </c>
      <c r="AO21" s="111">
        <f t="shared" si="41"/>
        <v>0</v>
      </c>
      <c r="AP21" s="111">
        <f t="shared" si="42"/>
        <v>0</v>
      </c>
      <c r="AU21" s="119" t="s">
        <v>737</v>
      </c>
      <c r="AV21" s="88" t="s">
        <v>874</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2">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17.578199999999999</v>
      </c>
      <c r="F22" s="493">
        <f>SUMIF('A-1 Site Habitat Baseline'!$G$11:$G$258,'G-2 Habitat groups'!A22,'A-1 Site Habitat Baseline'!$Q$11:$Q$258)</f>
        <v>80.859719999999996</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27.613299999999999</v>
      </c>
      <c r="N22" s="493">
        <f ca="1">SUMIF('A-3 Site Habitat Enhancement'!$S$12:$S$257,'G-2 Habitat groups'!A22,'A-3 Site Habitat Enhancement'!$AN$12:$AN$257)</f>
        <v>237.74854510414724</v>
      </c>
      <c r="O22" s="493">
        <f t="shared" si="0"/>
        <v>27.613299999999999</v>
      </c>
      <c r="P22" s="493">
        <f t="shared" ca="1" si="1"/>
        <v>237.74854510414724</v>
      </c>
      <c r="Q22" s="493">
        <f t="shared" si="2"/>
        <v>10.0351</v>
      </c>
      <c r="R22" s="493">
        <f t="shared" ca="1" si="3"/>
        <v>156.88882510414726</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10.0351</v>
      </c>
      <c r="AF22" s="493">
        <f t="shared" ca="1" si="9"/>
        <v>156.88882510414726</v>
      </c>
      <c r="AJ22" s="107" t="s">
        <v>77</v>
      </c>
      <c r="AK22" s="100">
        <f t="shared" si="37"/>
        <v>0</v>
      </c>
      <c r="AL22" s="100">
        <f t="shared" si="38"/>
        <v>0</v>
      </c>
      <c r="AM22" s="100">
        <f t="shared" si="39"/>
        <v>0</v>
      </c>
      <c r="AN22" s="100">
        <f t="shared" si="40"/>
        <v>0</v>
      </c>
      <c r="AO22" s="111">
        <f t="shared" si="41"/>
        <v>0</v>
      </c>
      <c r="AP22" s="111">
        <f t="shared" si="42"/>
        <v>0</v>
      </c>
      <c r="AU22" s="119" t="s">
        <v>744</v>
      </c>
      <c r="AV22" s="88" t="s">
        <v>874</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x14ac:dyDescent="0.2">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78</v>
      </c>
      <c r="AK23" s="100">
        <f t="shared" si="37"/>
        <v>0</v>
      </c>
      <c r="AL23" s="100">
        <f t="shared" si="38"/>
        <v>0</v>
      </c>
      <c r="AM23" s="100">
        <f t="shared" si="39"/>
        <v>0</v>
      </c>
      <c r="AN23" s="100">
        <f t="shared" si="40"/>
        <v>0</v>
      </c>
      <c r="AO23" s="111">
        <f t="shared" si="41"/>
        <v>0</v>
      </c>
      <c r="AP23" s="111">
        <f t="shared" si="42"/>
        <v>0</v>
      </c>
      <c r="AU23" s="119" t="s">
        <v>751</v>
      </c>
      <c r="AV23" s="88" t="s">
        <v>874</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2">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79</v>
      </c>
      <c r="AK24" s="100">
        <f t="shared" si="37"/>
        <v>0</v>
      </c>
      <c r="AL24" s="100">
        <f t="shared" si="38"/>
        <v>0</v>
      </c>
      <c r="AM24" s="100">
        <f t="shared" si="39"/>
        <v>0</v>
      </c>
      <c r="AN24" s="100">
        <f t="shared" si="40"/>
        <v>0</v>
      </c>
      <c r="AO24" s="111">
        <f t="shared" si="41"/>
        <v>0</v>
      </c>
      <c r="AP24" s="111">
        <f t="shared" si="42"/>
        <v>0</v>
      </c>
      <c r="AU24" s="119" t="s">
        <v>776</v>
      </c>
      <c r="AV24" s="88" t="s">
        <v>83</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2">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80</v>
      </c>
      <c r="AK25" s="100">
        <f t="shared" si="37"/>
        <v>0</v>
      </c>
      <c r="AL25" s="100">
        <f t="shared" si="38"/>
        <v>0</v>
      </c>
      <c r="AM25" s="100">
        <f t="shared" si="39"/>
        <v>0</v>
      </c>
      <c r="AN25" s="100">
        <f t="shared" si="40"/>
        <v>0</v>
      </c>
      <c r="AO25" s="111">
        <f t="shared" si="41"/>
        <v>0</v>
      </c>
      <c r="AP25" s="111">
        <f t="shared" si="42"/>
        <v>0</v>
      </c>
    </row>
    <row r="26" spans="1:59" x14ac:dyDescent="0.2">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81</v>
      </c>
      <c r="AK26" s="100">
        <f t="shared" si="37"/>
        <v>0</v>
      </c>
      <c r="AL26" s="100">
        <f t="shared" si="38"/>
        <v>0</v>
      </c>
      <c r="AM26" s="100">
        <f t="shared" si="39"/>
        <v>0</v>
      </c>
      <c r="AN26" s="100">
        <f t="shared" si="40"/>
        <v>0</v>
      </c>
      <c r="AO26" s="111">
        <f t="shared" si="41"/>
        <v>0</v>
      </c>
      <c r="AP26" s="111">
        <f t="shared" si="42"/>
        <v>0</v>
      </c>
    </row>
    <row r="27" spans="1:59" ht="15.6" customHeight="1" x14ac:dyDescent="0.2">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82</v>
      </c>
      <c r="AK27" s="100">
        <f t="shared" si="37"/>
        <v>0</v>
      </c>
      <c r="AL27" s="100">
        <f t="shared" si="38"/>
        <v>0</v>
      </c>
      <c r="AM27" s="100">
        <f t="shared" si="39"/>
        <v>0</v>
      </c>
      <c r="AN27" s="100">
        <f t="shared" si="40"/>
        <v>0</v>
      </c>
      <c r="AO27" s="111">
        <f t="shared" si="41"/>
        <v>0</v>
      </c>
      <c r="AP27" s="111">
        <f t="shared" si="42"/>
        <v>0</v>
      </c>
      <c r="AU27" s="1040" t="s">
        <v>159</v>
      </c>
    </row>
    <row r="28" spans="1:59" ht="15.6" customHeight="1" x14ac:dyDescent="0.2">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0.19400000000000001</v>
      </c>
      <c r="F28" s="493">
        <f>SUMIF('A-1 Site Habitat Baseline'!$G$11:$G$258,'G-2 Habitat groups'!A28,'A-1 Site Habitat Baseline'!$Q$11:$Q$258)</f>
        <v>0.89239999999999997</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0.19400000000000001</v>
      </c>
      <c r="J28" s="493">
        <f>SUMIF('A-1 Site Habitat Baseline'!$G$11:$G$258,'G-2 Habitat groups'!A28,'A-1 Site Habitat Baseline'!$X$11:$X$258)</f>
        <v>0.89239999999999997</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-0.19400000000000001</v>
      </c>
      <c r="R28" s="493">
        <f t="shared" si="3"/>
        <v>-0.89239999999999997</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-0.19400000000000001</v>
      </c>
      <c r="AF28" s="493">
        <f t="shared" si="9"/>
        <v>-0.89239999999999997</v>
      </c>
      <c r="AJ28" s="109" t="s">
        <v>83</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25">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84</v>
      </c>
      <c r="AK29" s="112">
        <f t="shared" si="37"/>
        <v>0</v>
      </c>
      <c r="AL29" s="112">
        <f t="shared" si="38"/>
        <v>0</v>
      </c>
      <c r="AM29" s="112">
        <f t="shared" si="39"/>
        <v>0</v>
      </c>
      <c r="AN29" s="112">
        <f t="shared" si="40"/>
        <v>0</v>
      </c>
      <c r="AO29" s="111">
        <f t="shared" si="41"/>
        <v>0</v>
      </c>
      <c r="AP29" s="111">
        <f t="shared" si="42"/>
        <v>0</v>
      </c>
      <c r="AU29" s="123" t="s">
        <v>179</v>
      </c>
      <c r="AV29" s="127" t="s">
        <v>166</v>
      </c>
      <c r="AW29" s="127" t="s">
        <v>859</v>
      </c>
      <c r="AX29" s="127" t="s">
        <v>864</v>
      </c>
      <c r="AY29" s="127" t="s">
        <v>861</v>
      </c>
      <c r="AZ29" s="127" t="s">
        <v>862</v>
      </c>
      <c r="BA29" s="127" t="s">
        <v>863</v>
      </c>
      <c r="BB29" s="127" t="s">
        <v>167</v>
      </c>
      <c r="BC29" s="127" t="s">
        <v>865</v>
      </c>
      <c r="BD29" s="127" t="s">
        <v>866</v>
      </c>
      <c r="BE29" s="127" t="s">
        <v>867</v>
      </c>
      <c r="BF29" s="127" t="s">
        <v>868</v>
      </c>
    </row>
    <row r="30" spans="1:59" x14ac:dyDescent="0.2">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85</v>
      </c>
      <c r="AK30" s="112">
        <f t="shared" si="37"/>
        <v>0</v>
      </c>
      <c r="AL30" s="112">
        <f t="shared" si="38"/>
        <v>0</v>
      </c>
      <c r="AM30" s="112">
        <f t="shared" si="39"/>
        <v>0</v>
      </c>
      <c r="AN30" s="112">
        <f t="shared" si="40"/>
        <v>0</v>
      </c>
      <c r="AO30" s="111">
        <f t="shared" si="41"/>
        <v>0</v>
      </c>
      <c r="AP30" s="111">
        <f t="shared" si="42"/>
        <v>0</v>
      </c>
      <c r="AU30" s="113" t="s">
        <v>444</v>
      </c>
      <c r="AV30" s="88" t="s">
        <v>76</v>
      </c>
      <c r="AW30" s="493">
        <f t="shared" ref="AW30:AW70" si="43">VLOOKUP($AU30,AllHabsSummaryData,5,FALSE)</f>
        <v>0</v>
      </c>
      <c r="AX30" s="493">
        <f t="shared" ref="AX30:AX70" si="44">VLOOKUP($AU30,AllHabsSummaryData,10,FALSE)</f>
        <v>0</v>
      </c>
      <c r="AY30" s="493">
        <f t="shared" ref="AY30:AY70" si="45">VLOOKUP($AU30,AllHabsSummaryData,15,FALSE)</f>
        <v>0.8407</v>
      </c>
      <c r="AZ30" s="493">
        <f t="shared" ref="AZ30:AZ70" ca="1" si="46">VLOOKUP($AU30,AllHabsSummaryData,16,FALSE)</f>
        <v>6.9085840971926409</v>
      </c>
      <c r="BA30" s="493">
        <f t="shared" ref="BA30:BA70" si="47">VLOOKUP($AU30,AllHabsSummaryData,17,FALSE)</f>
        <v>0.8407</v>
      </c>
      <c r="BB30" s="493">
        <f t="shared" ref="BB30:BB70" ca="1" si="48">VLOOKUP($AU30,AllHabsSummaryData,18,FALSE)</f>
        <v>6.9085840971926409</v>
      </c>
      <c r="BC30" s="493">
        <f t="shared" ref="BC30:BC70" si="49">VLOOKUP($AU30,AllHabsSummaryData,27,FALSE)</f>
        <v>0</v>
      </c>
      <c r="BD30" s="493">
        <f t="shared" ref="BD30:BD70" si="50">VLOOKUP($AU30,AllHabsSummaryData,30,FALSE)</f>
        <v>0</v>
      </c>
      <c r="BE30" s="493">
        <f t="shared" ref="BE30:BE70" ca="1" si="51">BB30+BD30</f>
        <v>6.9085840971926409</v>
      </c>
      <c r="BF30" s="493" t="str">
        <f t="shared" ref="BF30:BF70" ca="1" si="52">IF(BE30&lt;0,BE30,"")</f>
        <v/>
      </c>
    </row>
    <row r="31" spans="1:59" x14ac:dyDescent="0.2">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86</v>
      </c>
      <c r="AK31" s="100">
        <f t="shared" si="37"/>
        <v>0</v>
      </c>
      <c r="AL31" s="100">
        <f t="shared" si="38"/>
        <v>0</v>
      </c>
      <c r="AM31" s="100">
        <f t="shared" si="39"/>
        <v>0</v>
      </c>
      <c r="AN31" s="100">
        <f t="shared" si="40"/>
        <v>0</v>
      </c>
      <c r="AO31" s="111">
        <f t="shared" si="41"/>
        <v>0</v>
      </c>
      <c r="AP31" s="111">
        <f t="shared" si="42"/>
        <v>0</v>
      </c>
      <c r="AU31" s="113" t="s">
        <v>451</v>
      </c>
      <c r="AV31" s="88" t="s">
        <v>76</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x14ac:dyDescent="0.2">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87</v>
      </c>
      <c r="AK32" s="100">
        <f t="shared" si="37"/>
        <v>0</v>
      </c>
      <c r="AL32" s="100">
        <f t="shared" si="38"/>
        <v>0</v>
      </c>
      <c r="AM32" s="100">
        <f t="shared" si="39"/>
        <v>0</v>
      </c>
      <c r="AN32" s="100">
        <f t="shared" si="40"/>
        <v>0</v>
      </c>
      <c r="AO32" s="111">
        <f t="shared" si="41"/>
        <v>0</v>
      </c>
      <c r="AP32" s="111">
        <f t="shared" si="42"/>
        <v>0</v>
      </c>
      <c r="AU32" s="113" t="s">
        <v>455</v>
      </c>
      <c r="AV32" s="88" t="s">
        <v>76</v>
      </c>
      <c r="AW32" s="493">
        <f t="shared" si="43"/>
        <v>8.0058000000000007</v>
      </c>
      <c r="AX32" s="493">
        <f t="shared" si="44"/>
        <v>0</v>
      </c>
      <c r="AY32" s="493">
        <f t="shared" si="45"/>
        <v>8.0058000000000007</v>
      </c>
      <c r="AZ32" s="493">
        <f t="shared" ca="1" si="46"/>
        <v>68.250238977402262</v>
      </c>
      <c r="BA32" s="493">
        <f t="shared" si="47"/>
        <v>0</v>
      </c>
      <c r="BB32" s="493">
        <f t="shared" ca="1" si="48"/>
        <v>13.010218977402268</v>
      </c>
      <c r="BC32" s="493">
        <f t="shared" si="49"/>
        <v>0</v>
      </c>
      <c r="BD32" s="493">
        <f t="shared" si="50"/>
        <v>0</v>
      </c>
      <c r="BE32" s="493">
        <f t="shared" ca="1" si="51"/>
        <v>13.010218977402268</v>
      </c>
      <c r="BF32" s="493" t="str">
        <f t="shared" ca="1" si="52"/>
        <v/>
      </c>
    </row>
    <row r="33" spans="1:58" x14ac:dyDescent="0.2">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0.21579999999999999</v>
      </c>
      <c r="F33" s="493">
        <f>SUMIF('A-1 Site Habitat Baseline'!$G$11:$G$258,'G-2 Habitat groups'!A33,'A-1 Site Habitat Baseline'!$Q$11:$Q$258)</f>
        <v>1.9853599999999998</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0.21579999999999999</v>
      </c>
      <c r="J33" s="493">
        <f>SUMIF('A-1 Site Habitat Baseline'!$G$11:$G$258,'G-2 Habitat groups'!A33,'A-1 Site Habitat Baseline'!$X$11:$X$258)</f>
        <v>1.9853599999999998</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-0.21579999999999999</v>
      </c>
      <c r="R33" s="493">
        <f t="shared" si="3"/>
        <v>-1.9853599999999998</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-0.21579999999999999</v>
      </c>
      <c r="AF33" s="493">
        <f t="shared" si="9"/>
        <v>-1.9853599999999998</v>
      </c>
      <c r="AU33" s="113" t="s">
        <v>477</v>
      </c>
      <c r="AV33" s="88" t="s">
        <v>76</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2">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485</v>
      </c>
      <c r="AV34" s="88" t="s">
        <v>76</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2">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507</v>
      </c>
      <c r="AV35" s="88" t="s">
        <v>77</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2">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522</v>
      </c>
      <c r="AV36" s="88" t="s">
        <v>77</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2">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531</v>
      </c>
      <c r="AV37" s="88" t="s">
        <v>77</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2">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542</v>
      </c>
      <c r="AV38" s="88" t="s">
        <v>78</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2">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545</v>
      </c>
      <c r="AV39" s="88" t="s">
        <v>78</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2">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548</v>
      </c>
      <c r="AV40" s="88" t="s">
        <v>78</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2">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551</v>
      </c>
      <c r="AV41" s="88" t="s">
        <v>78</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2">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554</v>
      </c>
      <c r="AV42" s="88" t="s">
        <v>78</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2">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557</v>
      </c>
      <c r="AV43" s="88" t="s">
        <v>78</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x14ac:dyDescent="0.2">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565</v>
      </c>
      <c r="AV44" s="88" t="s">
        <v>78</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2">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573</v>
      </c>
      <c r="AV45" s="88" t="s">
        <v>79</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2">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577</v>
      </c>
      <c r="AV46" s="88" t="s">
        <v>79</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2">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4.36E-2</v>
      </c>
      <c r="F47" s="493">
        <f>SUMIF('A-1 Site Habitat Baseline'!$G$11:$G$258,'G-2 Habitat groups'!A47,'A-1 Site Habitat Baseline'!$Q$11:$Q$258)</f>
        <v>0.40111999999999998</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4.36E-2</v>
      </c>
      <c r="N47" s="493">
        <f ca="1">SUMIF('A-3 Site Habitat Enhancement'!$S$12:$S$257,'G-2 Habitat groups'!A47,'A-3 Site Habitat Enhancement'!$AN$12:$AN$257)</f>
        <v>0.51764748601662514</v>
      </c>
      <c r="O47" s="493">
        <f t="shared" si="53"/>
        <v>4.36E-2</v>
      </c>
      <c r="P47" s="493">
        <f t="shared" ca="1" si="54"/>
        <v>0.51764748601662514</v>
      </c>
      <c r="Q47" s="493">
        <f t="shared" si="55"/>
        <v>0</v>
      </c>
      <c r="R47" s="493">
        <f t="shared" ca="1" si="56"/>
        <v>0.11652748601662516</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ca="1" si="62"/>
        <v>0.11652748601662516</v>
      </c>
      <c r="AU47" s="113" t="s">
        <v>584</v>
      </c>
      <c r="AV47" s="88" t="s">
        <v>79</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2">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592</v>
      </c>
      <c r="AV48" s="88" t="s">
        <v>79</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2">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630</v>
      </c>
      <c r="AV49" s="88" t="s">
        <v>80</v>
      </c>
      <c r="AW49" s="493">
        <f t="shared" si="43"/>
        <v>9.3899999999999997E-2</v>
      </c>
      <c r="AX49" s="493">
        <f t="shared" si="44"/>
        <v>0</v>
      </c>
      <c r="AY49" s="493">
        <f t="shared" si="45"/>
        <v>0</v>
      </c>
      <c r="AZ49" s="493">
        <f t="shared" si="46"/>
        <v>0</v>
      </c>
      <c r="BA49" s="493">
        <f t="shared" si="47"/>
        <v>-9.3899999999999997E-2</v>
      </c>
      <c r="BB49" s="493">
        <f t="shared" si="48"/>
        <v>-1.29582</v>
      </c>
      <c r="BC49" s="493">
        <f t="shared" si="49"/>
        <v>0</v>
      </c>
      <c r="BD49" s="493">
        <f t="shared" si="50"/>
        <v>0</v>
      </c>
      <c r="BE49" s="493">
        <f t="shared" si="51"/>
        <v>-1.29582</v>
      </c>
      <c r="BF49" s="493">
        <f t="shared" si="52"/>
        <v>-1.29582</v>
      </c>
    </row>
    <row r="50" spans="1:58" x14ac:dyDescent="0.2">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677</v>
      </c>
      <c r="AV50" s="88" t="s">
        <v>81</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2">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683</v>
      </c>
      <c r="AV51" s="88" t="s">
        <v>82</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2">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686</v>
      </c>
      <c r="AV52" s="88" t="s">
        <v>82</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2">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689</v>
      </c>
      <c r="AV53" s="88" t="s">
        <v>82</v>
      </c>
      <c r="AW53" s="493">
        <f t="shared" si="43"/>
        <v>5.0649999999999995</v>
      </c>
      <c r="AX53" s="493">
        <f t="shared" si="44"/>
        <v>0</v>
      </c>
      <c r="AY53" s="493">
        <f t="shared" si="45"/>
        <v>5.0649999999999995</v>
      </c>
      <c r="AZ53" s="493">
        <f t="shared" ca="1" si="46"/>
        <v>91.601004397327443</v>
      </c>
      <c r="BA53" s="493">
        <f t="shared" si="47"/>
        <v>0</v>
      </c>
      <c r="BB53" s="493">
        <f t="shared" ca="1" si="48"/>
        <v>2.5571943973274642</v>
      </c>
      <c r="BC53" s="493">
        <f t="shared" si="49"/>
        <v>0</v>
      </c>
      <c r="BD53" s="493">
        <f t="shared" si="50"/>
        <v>0</v>
      </c>
      <c r="BE53" s="493">
        <f t="shared" ca="1" si="51"/>
        <v>2.5571943973274642</v>
      </c>
      <c r="BF53" s="493" t="str">
        <f t="shared" ca="1" si="52"/>
        <v/>
      </c>
    </row>
    <row r="54" spans="1:58" x14ac:dyDescent="0.2">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692</v>
      </c>
      <c r="AV54" s="88" t="s">
        <v>82</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2">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707</v>
      </c>
      <c r="AV55" s="88" t="s">
        <v>82</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2">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710</v>
      </c>
      <c r="AV56" s="88" t="s">
        <v>82</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2">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713</v>
      </c>
      <c r="AV57" s="88" t="s">
        <v>82</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2">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718</v>
      </c>
      <c r="AV58" s="88" t="s">
        <v>82</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2">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0.87450000000000006</v>
      </c>
      <c r="F59" s="493">
        <f>SUMIF('A-1 Site Habitat Baseline'!$G$11:$G$258,'G-2 Habitat groups'!A59,'A-1 Site Habitat Baseline'!$Q$11:$Q$258)</f>
        <v>0</v>
      </c>
      <c r="G59" s="493">
        <f>SUMIF('A-1 Site Habitat Baseline'!$G$11:$G$258,'G-2 Habitat groups'!A59,'A-1 Site Habitat Baseline'!$S$11:$S$258)</f>
        <v>0.53749999999999998</v>
      </c>
      <c r="H59" s="493">
        <f>SUMIF('A-1 Site Habitat Baseline'!$G$11:$G$258,'G-2 Habitat groups'!A59,'A-1 Site Habitat Baseline'!$U$11:$U$258)</f>
        <v>0</v>
      </c>
      <c r="I59" s="493">
        <f>SUMIF('A-1 Site Habitat Baseline'!$G$11:$G$258,'G-2 Habitat groups'!A59,'A-1 Site Habitat Baseline'!$W$11:$W$258)</f>
        <v>0.33700000000000002</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0.53749999999999998</v>
      </c>
      <c r="P59" s="493">
        <f t="shared" si="54"/>
        <v>0</v>
      </c>
      <c r="Q59" s="493">
        <f t="shared" si="55"/>
        <v>-0.33700000000000008</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-0.33700000000000008</v>
      </c>
      <c r="AF59" s="493">
        <f t="shared" si="62"/>
        <v>0</v>
      </c>
      <c r="AU59" s="113" t="s">
        <v>721</v>
      </c>
      <c r="AV59" s="88" t="s">
        <v>86</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2">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726</v>
      </c>
      <c r="AV60" s="88" t="s">
        <v>874</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2">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734</v>
      </c>
      <c r="AV61" s="88" t="s">
        <v>874</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2">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741</v>
      </c>
      <c r="AV62" s="88" t="s">
        <v>874</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2">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748</v>
      </c>
      <c r="AV63" s="88" t="s">
        <v>874</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2">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5.0000000000000001E-3</v>
      </c>
      <c r="F64" s="493">
        <f>SUMIF('A-1 Site Habitat Baseline'!$G$11:$G$258,'G-2 Habitat groups'!A64,'A-1 Site Habitat Baseline'!$Q$11:$Q$258)</f>
        <v>0</v>
      </c>
      <c r="G64" s="493">
        <f>SUMIF('A-1 Site Habitat Baseline'!$G$11:$G$258,'G-2 Habitat groups'!A64,'A-1 Site Habitat Baseline'!$S$11:$S$258)</f>
        <v>5.0000000000000001E-3</v>
      </c>
      <c r="H64" s="493">
        <f>SUMIF('A-1 Site Habitat Baseline'!$G$11:$G$258,'G-2 Habitat groups'!A64,'A-1 Site Habitat Baseline'!$U$11:$U$258)</f>
        <v>0</v>
      </c>
      <c r="I64" s="493">
        <f>SUMIF('A-1 Site Habitat Baseline'!$G$11:$G$258,'G-2 Habitat groups'!A64,'A-1 Site Habitat Baseline'!$W$11:$W$258)</f>
        <v>0</v>
      </c>
      <c r="J64" s="493">
        <f>SUMIF('A-1 Site Habitat Baseline'!$G$11:$G$258,'G-2 Habitat groups'!A64,'A-1 Site Habitat Baseline'!$X$11:$X$258)</f>
        <v>0</v>
      </c>
      <c r="K64" s="493">
        <f>SUMIF('A-2 Site Habitat Creation'!$F$11:$F$256,'G-2 Habitat groups'!A64,'A-2 Site Habitat Creation'!$G$11:$G$256)</f>
        <v>0</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5.0000000000000001E-3</v>
      </c>
      <c r="P64" s="493">
        <f t="shared" si="54"/>
        <v>0</v>
      </c>
      <c r="Q64" s="493">
        <f t="shared" si="55"/>
        <v>0</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v>
      </c>
      <c r="AF64" s="493">
        <f t="shared" si="62"/>
        <v>0</v>
      </c>
      <c r="AU64" s="118" t="s">
        <v>766</v>
      </c>
      <c r="AV64" s="88" t="s">
        <v>83</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2">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769</v>
      </c>
      <c r="AV65" s="88" t="s">
        <v>83</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2">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755</v>
      </c>
      <c r="AV66" s="88" t="s">
        <v>875</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2">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780</v>
      </c>
      <c r="AV67" s="88" t="s">
        <v>83</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2">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784</v>
      </c>
      <c r="AV68" s="88" t="s">
        <v>83</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2">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787</v>
      </c>
      <c r="AV69" s="88" t="s">
        <v>83</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2">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814</v>
      </c>
      <c r="AV70" s="88" t="s">
        <v>83</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2">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9.3899999999999997E-2</v>
      </c>
      <c r="F71" s="493">
        <f>SUMIF('A-1 Site Habitat Baseline'!$G$11:$G$258,'G-2 Habitat groups'!A71,'A-1 Site Habitat Baseline'!$Q$11:$Q$258)</f>
        <v>1.29582</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-9.3899999999999997E-2</v>
      </c>
      <c r="R71" s="493">
        <f t="shared" si="66"/>
        <v>-1.29582</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-9.3899999999999997E-2</v>
      </c>
      <c r="AF71" s="493">
        <f t="shared" si="72"/>
        <v>-1.29582</v>
      </c>
    </row>
    <row r="72" spans="1:59" x14ac:dyDescent="0.2">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2">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2">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3">
        <f>SUMIF('A-1 Site Habitat Baseline'!$G$11:$G$258,'G-2 Habitat groups'!A74,'A-1 Site Habitat Baseline'!$Q$11:$Q$258)</f>
        <v>0</v>
      </c>
      <c r="G74" s="493">
        <f>SUMIF('A-1 Site Habitat Baseline'!$G$11:$G$258,'G-2 Habitat groups'!A74,'A-1 Site Habitat Baseline'!$S$11:$S$258)</f>
        <v>0</v>
      </c>
      <c r="H74" s="493">
        <f>SUMIF('A-1 Site Habitat Baseline'!$G$11:$G$258,'G-2 Habitat groups'!A74,'A-1 Site Habitat Baseline'!$U$11:$U$258)</f>
        <v>0</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0</v>
      </c>
      <c r="L74" s="493">
        <f>SUMIF('A-2 Site Habitat Creation'!$F$11:$F$256,'G-2 Habitat groups'!A74,'A-2 Site Habitat Creation'!$Y$11:$Y$256)</f>
        <v>0</v>
      </c>
      <c r="M74" s="493">
        <f>SUMIF('A-3 Site Habitat Enhancement'!$S$12:$S$257,'G-2 Habitat groups'!A74,'A-3 Site Habitat Enhancement'!$V$12:$V$257)</f>
        <v>0</v>
      </c>
      <c r="N74" s="493">
        <f>SUMIF('A-3 Site Habitat Enhancement'!$S$12:$S$257,'G-2 Habitat groups'!A74,'A-3 Site Habitat Enhancement'!$AN$12:$AN$257)</f>
        <v>0</v>
      </c>
      <c r="O74" s="493">
        <f t="shared" si="63"/>
        <v>0</v>
      </c>
      <c r="P74" s="493">
        <f t="shared" si="64"/>
        <v>0</v>
      </c>
      <c r="Q74" s="493">
        <f t="shared" si="65"/>
        <v>0</v>
      </c>
      <c r="R74" s="493">
        <f t="shared" si="66"/>
        <v>0</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0</v>
      </c>
      <c r="AF74" s="493">
        <f t="shared" si="72"/>
        <v>0</v>
      </c>
    </row>
    <row r="75" spans="1:59" ht="34.5" x14ac:dyDescent="0.45">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29</v>
      </c>
      <c r="AV75" s="99"/>
      <c r="AW75" s="99"/>
      <c r="AX75" s="99"/>
      <c r="AY75" s="99"/>
      <c r="AZ75" s="99"/>
      <c r="BA75" s="99"/>
      <c r="BB75" s="99"/>
      <c r="BC75" s="99"/>
      <c r="BD75" s="99"/>
      <c r="BE75" s="99"/>
      <c r="BF75" s="99"/>
      <c r="BG75" s="121"/>
    </row>
    <row r="76" spans="1:59" ht="33.75" customHeight="1" x14ac:dyDescent="0.25">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179</v>
      </c>
      <c r="AV76" s="127" t="s">
        <v>166</v>
      </c>
      <c r="AW76" s="128" t="s">
        <v>859</v>
      </c>
      <c r="AX76" s="128" t="s">
        <v>864</v>
      </c>
      <c r="AY76" s="128" t="s">
        <v>861</v>
      </c>
      <c r="AZ76" s="128" t="s">
        <v>862</v>
      </c>
      <c r="BA76" s="128" t="s">
        <v>863</v>
      </c>
      <c r="BB76" s="128" t="s">
        <v>167</v>
      </c>
      <c r="BC76" s="128" t="s">
        <v>865</v>
      </c>
      <c r="BD76" s="127" t="s">
        <v>866</v>
      </c>
      <c r="BE76" s="128" t="s">
        <v>867</v>
      </c>
      <c r="BF76" s="128" t="s">
        <v>876</v>
      </c>
      <c r="BG76" s="122"/>
    </row>
    <row r="77" spans="1:59" x14ac:dyDescent="0.2">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396</v>
      </c>
      <c r="AV77" s="88" t="s">
        <v>75</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2">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v>
      </c>
      <c r="L78" s="493">
        <f>SUMIF('A-2 Site Habitat Creation'!$F$11:$F$256,'G-2 Habitat groups'!A78,'A-2 Site Habitat Creation'!$Y$11:$Y$256)</f>
        <v>0</v>
      </c>
      <c r="M78" s="493">
        <f>SUMIF('A-3 Site Habitat Enhancement'!$S$12:$S$257,'G-2 Habitat groups'!A78,'A-3 Site Habitat Enhancement'!$V$12:$V$257)</f>
        <v>0</v>
      </c>
      <c r="N78" s="493">
        <f>SUMIF('A-3 Site Habitat Enhancement'!$S$12:$S$257,'G-2 Habitat groups'!A78,'A-3 Site Habitat Enhancement'!$AN$12:$AN$257)</f>
        <v>0</v>
      </c>
      <c r="O78" s="493">
        <f t="shared" si="63"/>
        <v>0</v>
      </c>
      <c r="P78" s="493">
        <f t="shared" si="64"/>
        <v>0</v>
      </c>
      <c r="Q78" s="493">
        <f t="shared" si="65"/>
        <v>0</v>
      </c>
      <c r="R78" s="493">
        <f t="shared" si="66"/>
        <v>0</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v>
      </c>
      <c r="AF78" s="493">
        <f t="shared" si="72"/>
        <v>0</v>
      </c>
      <c r="AU78" s="104" t="s">
        <v>405</v>
      </c>
      <c r="AV78" s="88" t="s">
        <v>75</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2">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411</v>
      </c>
      <c r="AV79" s="88" t="s">
        <v>75</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2">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415</v>
      </c>
      <c r="AV80" s="88" t="s">
        <v>75</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x14ac:dyDescent="0.2">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472</v>
      </c>
      <c r="AV81" s="88" t="s">
        <v>76</v>
      </c>
      <c r="AW81" s="493">
        <f t="shared" ref="AW81:AW100" si="89">VLOOKUP($AU81,AllHabsSummaryData,5,FALSE)</f>
        <v>0.65229999999999999</v>
      </c>
      <c r="AX81" s="493">
        <f t="shared" ref="AX81:AX100" si="90">VLOOKUP($AU81,AllHabsSummaryData,10,FALSE)</f>
        <v>0</v>
      </c>
      <c r="AY81" s="493">
        <f t="shared" ref="AY81:AY100" si="91">VLOOKUP($AU81,AllHabsSummaryData,15,FALSE)</f>
        <v>1.1694</v>
      </c>
      <c r="AZ81" s="493">
        <f t="shared" ref="AZ81:AZ100" ca="1" si="92">VLOOKUP($AU81,AllHabsSummaryData,16,FALSE)</f>
        <v>9.7759968494206095</v>
      </c>
      <c r="BA81" s="493">
        <f t="shared" ref="BA81:BA100" si="93">VLOOKUP($AU81,AllHabsSummaryData,17,FALSE)</f>
        <v>0.5171</v>
      </c>
      <c r="BB81" s="493">
        <f t="shared" ref="BB81:BB100" ca="1" si="94">VLOOKUP($AU81,AllHabsSummaryData,18,FALSE)</f>
        <v>6.7754168494206102</v>
      </c>
      <c r="BC81" s="493">
        <f t="shared" ref="BC81:BC100" si="95">VLOOKUP($AU81,AllHabsSummaryData,27,FALSE)</f>
        <v>0</v>
      </c>
      <c r="BD81" s="493">
        <f t="shared" ref="BD81:BD100" si="96">VLOOKUP($AU81,AllHabsSummaryData,30,FALSE)</f>
        <v>0</v>
      </c>
      <c r="BE81" s="493">
        <f t="shared" ref="BE81:BE89" ca="1" si="97">BB81+BD81</f>
        <v>6.7754168494206102</v>
      </c>
      <c r="BF81" s="493" t="str">
        <f t="shared" ref="BF81:BF89" ca="1" si="98">IF(BE81&lt;0,BE81,"")</f>
        <v/>
      </c>
    </row>
    <row r="82" spans="1:58" x14ac:dyDescent="0.2">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474</v>
      </c>
      <c r="AV82" s="88" t="s">
        <v>76</v>
      </c>
      <c r="AW82" s="493">
        <f t="shared" si="89"/>
        <v>17.578199999999999</v>
      </c>
      <c r="AX82" s="493">
        <f t="shared" si="90"/>
        <v>0</v>
      </c>
      <c r="AY82" s="493">
        <f t="shared" si="91"/>
        <v>27.613299999999999</v>
      </c>
      <c r="AZ82" s="493">
        <f t="shared" ca="1" si="92"/>
        <v>237.74854510414724</v>
      </c>
      <c r="BA82" s="493">
        <f t="shared" si="93"/>
        <v>10.0351</v>
      </c>
      <c r="BB82" s="493">
        <f t="shared" ca="1" si="94"/>
        <v>156.88882510414726</v>
      </c>
      <c r="BC82" s="493">
        <f t="shared" si="95"/>
        <v>0</v>
      </c>
      <c r="BD82" s="493">
        <f t="shared" si="96"/>
        <v>0</v>
      </c>
      <c r="BE82" s="493">
        <f t="shared" ca="1" si="97"/>
        <v>156.88882510414726</v>
      </c>
      <c r="BF82" s="493" t="str">
        <f t="shared" ca="1" si="98"/>
        <v/>
      </c>
    </row>
    <row r="83" spans="1:58" x14ac:dyDescent="0.2">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482</v>
      </c>
      <c r="AV83" s="88" t="s">
        <v>76</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2">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491</v>
      </c>
      <c r="AV84" s="88" t="s">
        <v>77</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2">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495</v>
      </c>
      <c r="AV85" s="88" t="s">
        <v>77</v>
      </c>
      <c r="AW85" s="493">
        <f t="shared" si="89"/>
        <v>0.19400000000000001</v>
      </c>
      <c r="AX85" s="493">
        <f t="shared" si="90"/>
        <v>0.89239999999999997</v>
      </c>
      <c r="AY85" s="493">
        <f t="shared" si="91"/>
        <v>0</v>
      </c>
      <c r="AZ85" s="493">
        <f t="shared" si="92"/>
        <v>0</v>
      </c>
      <c r="BA85" s="493">
        <f t="shared" si="93"/>
        <v>-0.19400000000000001</v>
      </c>
      <c r="BB85" s="493">
        <f t="shared" si="94"/>
        <v>-0.89239999999999997</v>
      </c>
      <c r="BC85" s="493">
        <f t="shared" si="95"/>
        <v>0</v>
      </c>
      <c r="BD85" s="493">
        <f t="shared" si="96"/>
        <v>0</v>
      </c>
      <c r="BE85" s="493">
        <f t="shared" si="97"/>
        <v>-0.89239999999999997</v>
      </c>
      <c r="BF85" s="493">
        <f t="shared" si="98"/>
        <v>-0.89239999999999997</v>
      </c>
    </row>
    <row r="86" spans="1:58" x14ac:dyDescent="0.2">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498</v>
      </c>
      <c r="AV86" s="88" t="s">
        <v>77</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2">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501</v>
      </c>
      <c r="AV87" s="88" t="s">
        <v>77</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2">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504</v>
      </c>
      <c r="AV88" s="88" t="s">
        <v>77</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2">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5.0649999999999995</v>
      </c>
      <c r="F89" s="493">
        <f>SUMIF('A-1 Site Habitat Baseline'!$G$11:$G$258,'G-2 Habitat groups'!A89,'A-1 Site Habitat Baseline'!$Q$11:$Q$258)</f>
        <v>89.043809999999979</v>
      </c>
      <c r="G89" s="493">
        <f>SUMIF('A-1 Site Habitat Baseline'!$G$11:$G$258,'G-2 Habitat groups'!A89,'A-1 Site Habitat Baseline'!$S$11:$S$258)</f>
        <v>2.7749000000000001</v>
      </c>
      <c r="H89" s="493">
        <f>SUMIF('A-1 Site Habitat Baseline'!$G$11:$G$258,'G-2 Habitat groups'!A89,'A-1 Site Habitat Baseline'!$U$11:$U$258)</f>
        <v>57.440429999999992</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2.2900999999999998</v>
      </c>
      <c r="N89" s="493">
        <f ca="1">SUMIF('A-3 Site Habitat Enhancement'!$S$12:$S$257,'G-2 Habitat groups'!A89,'A-3 Site Habitat Enhancement'!$AN$12:$AN$257)</f>
        <v>34.160574397327451</v>
      </c>
      <c r="O89" s="493">
        <f t="shared" si="63"/>
        <v>5.0649999999999995</v>
      </c>
      <c r="P89" s="493">
        <f t="shared" ca="1" si="64"/>
        <v>91.601004397327443</v>
      </c>
      <c r="Q89" s="493">
        <f t="shared" si="65"/>
        <v>0</v>
      </c>
      <c r="R89" s="493">
        <f t="shared" ca="1" si="66"/>
        <v>2.5571943973274642</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ca="1" si="72"/>
        <v>2.5571943973274642</v>
      </c>
      <c r="AU89" s="104" t="s">
        <v>512</v>
      </c>
      <c r="AV89" s="88" t="s">
        <v>77</v>
      </c>
      <c r="AW89" s="493">
        <f t="shared" si="89"/>
        <v>0.21579999999999999</v>
      </c>
      <c r="AX89" s="493">
        <f t="shared" si="90"/>
        <v>1.9853599999999998</v>
      </c>
      <c r="AY89" s="493">
        <f t="shared" si="91"/>
        <v>0</v>
      </c>
      <c r="AZ89" s="493">
        <f t="shared" si="92"/>
        <v>0</v>
      </c>
      <c r="BA89" s="493">
        <f t="shared" si="93"/>
        <v>-0.21579999999999999</v>
      </c>
      <c r="BB89" s="493">
        <f t="shared" si="94"/>
        <v>-1.9853599999999998</v>
      </c>
      <c r="BC89" s="493">
        <f t="shared" si="95"/>
        <v>0</v>
      </c>
      <c r="BD89" s="493">
        <f t="shared" si="96"/>
        <v>0</v>
      </c>
      <c r="BE89" s="493">
        <f t="shared" si="97"/>
        <v>-1.9853599999999998</v>
      </c>
      <c r="BF89" s="493">
        <f t="shared" si="98"/>
        <v>-1.9853599999999998</v>
      </c>
    </row>
    <row r="90" spans="1:58" x14ac:dyDescent="0.2">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559</v>
      </c>
      <c r="AV90" s="88" t="s">
        <v>78</v>
      </c>
      <c r="AW90" s="493">
        <f t="shared" si="89"/>
        <v>4.36E-2</v>
      </c>
      <c r="AX90" s="493">
        <f t="shared" si="90"/>
        <v>0</v>
      </c>
      <c r="AY90" s="493">
        <f t="shared" si="91"/>
        <v>4.36E-2</v>
      </c>
      <c r="AZ90" s="493">
        <f t="shared" ca="1" si="92"/>
        <v>0.51764748601662514</v>
      </c>
      <c r="BA90" s="493">
        <f t="shared" si="93"/>
        <v>0</v>
      </c>
      <c r="BB90" s="493">
        <f t="shared" ca="1" si="94"/>
        <v>0.11652748601662516</v>
      </c>
      <c r="BC90" s="493">
        <f t="shared" si="95"/>
        <v>0</v>
      </c>
      <c r="BD90" s="493">
        <f t="shared" si="96"/>
        <v>0</v>
      </c>
      <c r="BE90" s="493">
        <f t="shared" ref="BE90:BE92" ca="1" si="99">BB90+BD90</f>
        <v>0.11652748601662516</v>
      </c>
      <c r="BF90" s="493" t="str">
        <f t="shared" ref="BF90:BF92" ca="1" si="100">IF(BE90&lt;0,BE90,"")</f>
        <v/>
      </c>
    </row>
    <row r="91" spans="1:58" x14ac:dyDescent="0.2">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563</v>
      </c>
      <c r="AV91" s="88" t="s">
        <v>78</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2">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597</v>
      </c>
      <c r="AV92" s="88" t="s">
        <v>79</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2">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1.3391999999999999</v>
      </c>
      <c r="F93" s="493">
        <f>SUMIF('A-1 Site Habitat Baseline'!$G$11:$G$258,'G-2 Habitat groups'!A93,'A-1 Site Habitat Baseline'!$Q$11:$Q$258)</f>
        <v>11.830739999999999</v>
      </c>
      <c r="G93" s="493">
        <f>SUMIF('A-1 Site Habitat Baseline'!$G$11:$G$258,'G-2 Habitat groups'!A93,'A-1 Site Habitat Baseline'!$S$11:$S$258)</f>
        <v>0.1065</v>
      </c>
      <c r="H93" s="493">
        <f>SUMIF('A-1 Site Habitat Baseline'!$G$11:$G$258,'G-2 Habitat groups'!A93,'A-1 Site Habitat Baseline'!$U$11:$U$258)</f>
        <v>0.48989999999999995</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1.2326999999999999</v>
      </c>
      <c r="N93" s="493">
        <f ca="1">SUMIF('A-3 Site Habitat Enhancement'!$S$12:$S$257,'G-2 Habitat groups'!A93,'A-3 Site Habitat Enhancement'!$AN$12:$AN$257)</f>
        <v>15.311734613269161</v>
      </c>
      <c r="O93" s="493">
        <f t="shared" si="63"/>
        <v>1.3391999999999999</v>
      </c>
      <c r="P93" s="493">
        <f t="shared" ca="1" si="64"/>
        <v>15.801634613269162</v>
      </c>
      <c r="Q93" s="493">
        <f t="shared" si="65"/>
        <v>0</v>
      </c>
      <c r="R93" s="493">
        <f t="shared" ca="1" si="66"/>
        <v>3.9708946132691629</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ca="1" si="72"/>
        <v>3.9708946132691629</v>
      </c>
      <c r="AU93" s="104" t="s">
        <v>612</v>
      </c>
      <c r="AV93" s="88" t="s">
        <v>80</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2">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0.24690000000000001</v>
      </c>
      <c r="F94" s="493">
        <f>SUMIF('A-1 Site Habitat Baseline'!$G$11:$G$258,'G-2 Habitat groups'!A94,'A-1 Site Habitat Baseline'!$Q$11:$Q$258)</f>
        <v>2.2714799999999999</v>
      </c>
      <c r="G94" s="493">
        <f>SUMIF('A-1 Site Habitat Baseline'!$G$11:$G$258,'G-2 Habitat groups'!A94,'A-1 Site Habitat Baseline'!$S$11:$S$258)</f>
        <v>0.24690000000000001</v>
      </c>
      <c r="H94" s="493">
        <f>SUMIF('A-1 Site Habitat Baseline'!$G$11:$G$258,'G-2 Habitat groups'!A94,'A-1 Site Habitat Baseline'!$U$11:$U$258)</f>
        <v>2.2714799999999999</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0.24690000000000001</v>
      </c>
      <c r="P94" s="493">
        <f t="shared" si="64"/>
        <v>2.2714799999999999</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626</v>
      </c>
      <c r="AV94" s="88" t="s">
        <v>80</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x14ac:dyDescent="0.2">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700</v>
      </c>
      <c r="AV95" s="88" t="s">
        <v>82</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2">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702</v>
      </c>
      <c r="AV96" s="88" t="s">
        <v>82</v>
      </c>
      <c r="AW96" s="493">
        <f t="shared" si="89"/>
        <v>1.3391999999999999</v>
      </c>
      <c r="AX96" s="493">
        <f t="shared" si="90"/>
        <v>0</v>
      </c>
      <c r="AY96" s="493">
        <f t="shared" si="91"/>
        <v>1.3391999999999999</v>
      </c>
      <c r="AZ96" s="493">
        <f t="shared" ca="1" si="92"/>
        <v>15.801634613269162</v>
      </c>
      <c r="BA96" s="493">
        <f t="shared" si="93"/>
        <v>0</v>
      </c>
      <c r="BB96" s="493">
        <f t="shared" ca="1" si="94"/>
        <v>3.9708946132691629</v>
      </c>
      <c r="BC96" s="493">
        <f t="shared" si="95"/>
        <v>0</v>
      </c>
      <c r="BD96" s="493">
        <f t="shared" si="96"/>
        <v>0</v>
      </c>
      <c r="BE96" s="493">
        <f ca="1">BB96+BD96</f>
        <v>3.9708946132691629</v>
      </c>
      <c r="BF96" s="493" t="str">
        <f ca="1">IF(BE96&lt;0,BE96,"")</f>
        <v/>
      </c>
    </row>
    <row r="97" spans="1:59" x14ac:dyDescent="0.2">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704</v>
      </c>
      <c r="AV97" s="88" t="s">
        <v>82</v>
      </c>
      <c r="AW97" s="493">
        <f t="shared" si="89"/>
        <v>0.24690000000000001</v>
      </c>
      <c r="AX97" s="493">
        <f t="shared" si="90"/>
        <v>0</v>
      </c>
      <c r="AY97" s="493">
        <f t="shared" si="91"/>
        <v>0.24690000000000001</v>
      </c>
      <c r="AZ97" s="493">
        <f t="shared" si="92"/>
        <v>2.2714799999999999</v>
      </c>
      <c r="BA97" s="493">
        <f t="shared" si="93"/>
        <v>0</v>
      </c>
      <c r="BB97" s="493">
        <f t="shared" si="94"/>
        <v>0</v>
      </c>
      <c r="BC97" s="493">
        <f t="shared" si="95"/>
        <v>0</v>
      </c>
      <c r="BD97" s="493">
        <f t="shared" si="96"/>
        <v>0</v>
      </c>
      <c r="BE97" s="493">
        <f>BB97+BD97</f>
        <v>0</v>
      </c>
      <c r="BF97" s="493" t="str">
        <f>IF(BE97&lt;0,BE97,"")</f>
        <v/>
      </c>
    </row>
    <row r="98" spans="1:59" x14ac:dyDescent="0.2">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763</v>
      </c>
      <c r="AV98" s="88" t="s">
        <v>83</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2">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0.8871</v>
      </c>
      <c r="N99" s="493">
        <f ca="1">SUMIF('A-3 Site Habitat Enhancement'!$S$12:$S$257,'G-2 Habitat groups'!A99,'A-3 Site Habitat Enhancement'!$AN$12:$AN$257)</f>
        <v>6.2338798860708122</v>
      </c>
      <c r="O99" s="493">
        <f t="shared" ref="O99:O130" si="103">G99+K99+M99</f>
        <v>0.8871</v>
      </c>
      <c r="P99" s="493">
        <f t="shared" ref="P99:P130" ca="1" si="104">H99+L99+N99</f>
        <v>6.2338798860708122</v>
      </c>
      <c r="Q99" s="493">
        <f t="shared" ref="Q99:Q130" si="105">O99-E99</f>
        <v>0.8871</v>
      </c>
      <c r="R99" s="493">
        <f t="shared" ref="R99:R130" ca="1" si="106">P99-F99</f>
        <v>6.2338798860708122</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0.8871</v>
      </c>
      <c r="AF99" s="493">
        <f t="shared" ref="AF99:AF130" ca="1" si="112">R99+AD99</f>
        <v>6.2338798860708122</v>
      </c>
      <c r="AU99" s="130" t="s">
        <v>811</v>
      </c>
      <c r="AV99" s="88" t="s">
        <v>83</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8.5" x14ac:dyDescent="0.2">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823</v>
      </c>
      <c r="AV100" s="327" t="s">
        <v>877</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2">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2">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2">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2">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2">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2">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2">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4.5" x14ac:dyDescent="0.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162</v>
      </c>
    </row>
    <row r="109" spans="1:59" ht="33" customHeight="1" x14ac:dyDescent="0.25">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179</v>
      </c>
      <c r="AV109" s="127" t="s">
        <v>166</v>
      </c>
      <c r="AW109" s="128" t="s">
        <v>859</v>
      </c>
      <c r="AX109" s="128" t="s">
        <v>864</v>
      </c>
      <c r="AY109" s="128" t="s">
        <v>861</v>
      </c>
      <c r="AZ109" s="128" t="s">
        <v>862</v>
      </c>
      <c r="BA109" s="128" t="s">
        <v>863</v>
      </c>
      <c r="BB109" s="128" t="s">
        <v>167</v>
      </c>
      <c r="BC109" s="128" t="s">
        <v>865</v>
      </c>
      <c r="BD109" s="128" t="s">
        <v>866</v>
      </c>
      <c r="BE109" s="128" t="s">
        <v>867</v>
      </c>
      <c r="BF109" s="128" t="s">
        <v>876</v>
      </c>
      <c r="BG109" s="33"/>
    </row>
    <row r="110" spans="1:59" x14ac:dyDescent="0.2">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421</v>
      </c>
      <c r="AV110" s="88" t="s">
        <v>75</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2">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430</v>
      </c>
      <c r="AV111" s="88" t="s">
        <v>75</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2">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433</v>
      </c>
      <c r="AV112" s="88" t="s">
        <v>75</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2">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437</v>
      </c>
      <c r="AV113" s="88" t="s">
        <v>75</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2">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441</v>
      </c>
      <c r="AV114" s="88" t="s">
        <v>75</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2">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427</v>
      </c>
      <c r="AV115" s="88" t="s">
        <v>75</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x14ac:dyDescent="0.2">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469</v>
      </c>
      <c r="AV116" s="88" t="s">
        <v>76</v>
      </c>
      <c r="AW116" s="493">
        <f t="shared" si="115"/>
        <v>11.088100000000001</v>
      </c>
      <c r="AX116" s="493">
        <f t="shared" si="125"/>
        <v>0</v>
      </c>
      <c r="AY116" s="493">
        <f t="shared" si="126"/>
        <v>0.16589999999999999</v>
      </c>
      <c r="AZ116" s="493">
        <f t="shared" ca="1" si="127"/>
        <v>0.82878248337926996</v>
      </c>
      <c r="BA116" s="493">
        <f t="shared" si="128"/>
        <v>-10.9222</v>
      </c>
      <c r="BB116" s="493">
        <f t="shared" ca="1" si="129"/>
        <v>-49.794907516620725</v>
      </c>
      <c r="BC116" s="493">
        <f t="shared" si="130"/>
        <v>0</v>
      </c>
      <c r="BD116" s="493">
        <f t="shared" si="131"/>
        <v>0</v>
      </c>
      <c r="BE116" s="493">
        <f t="shared" ca="1" si="123"/>
        <v>-49.794907516620725</v>
      </c>
      <c r="BF116" s="493">
        <f t="shared" ca="1" si="124"/>
        <v>-49.794907516620725</v>
      </c>
    </row>
    <row r="117" spans="1:58" x14ac:dyDescent="0.2">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446</v>
      </c>
      <c r="AV117" s="88" t="s">
        <v>76</v>
      </c>
      <c r="AW117" s="493">
        <f t="shared" si="115"/>
        <v>0.5171</v>
      </c>
      <c r="AX117" s="493">
        <f t="shared" si="125"/>
        <v>0</v>
      </c>
      <c r="AY117" s="493">
        <f t="shared" si="126"/>
        <v>0</v>
      </c>
      <c r="AZ117" s="493">
        <f t="shared" si="127"/>
        <v>0</v>
      </c>
      <c r="BA117" s="493">
        <f t="shared" si="128"/>
        <v>-0.5171</v>
      </c>
      <c r="BB117" s="493">
        <f t="shared" si="129"/>
        <v>-1.18933</v>
      </c>
      <c r="BC117" s="493">
        <f t="shared" si="130"/>
        <v>0</v>
      </c>
      <c r="BD117" s="493">
        <f t="shared" si="131"/>
        <v>0</v>
      </c>
      <c r="BE117" s="493">
        <f t="shared" si="123"/>
        <v>-1.18933</v>
      </c>
      <c r="BF117" s="493">
        <f t="shared" si="124"/>
        <v>-1.18933</v>
      </c>
    </row>
    <row r="118" spans="1:58" x14ac:dyDescent="0.2">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519</v>
      </c>
      <c r="AV118" s="88" t="s">
        <v>77</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2">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539</v>
      </c>
      <c r="AV119" s="88" t="s">
        <v>78</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2">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580</v>
      </c>
      <c r="AV120" s="88" t="s">
        <v>79</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x14ac:dyDescent="0.2">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604</v>
      </c>
      <c r="AV121" s="88" t="s">
        <v>80</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2">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600</v>
      </c>
      <c r="AV122" s="88" t="s">
        <v>80</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x14ac:dyDescent="0.2">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619</v>
      </c>
      <c r="AV123" s="88" t="s">
        <v>80</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2">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622</v>
      </c>
      <c r="AV124" s="88" t="s">
        <v>80</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2">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624</v>
      </c>
      <c r="AV125" s="88" t="s">
        <v>80</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2">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616</v>
      </c>
      <c r="AV126" s="88" t="s">
        <v>80</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2">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629</v>
      </c>
      <c r="AV127" s="88" t="s">
        <v>80</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x14ac:dyDescent="0.2">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635</v>
      </c>
      <c r="AV128" s="88" t="s">
        <v>80</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2">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637</v>
      </c>
      <c r="AV129" s="88" t="s">
        <v>80</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2">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640</v>
      </c>
      <c r="AV130" s="88" t="s">
        <v>80</v>
      </c>
      <c r="AW130" s="493">
        <f t="shared" si="132"/>
        <v>0</v>
      </c>
      <c r="AX130" s="493">
        <f t="shared" si="125"/>
        <v>0</v>
      </c>
      <c r="AY130" s="493">
        <f t="shared" si="126"/>
        <v>0</v>
      </c>
      <c r="AZ130" s="493">
        <f t="shared" si="127"/>
        <v>0</v>
      </c>
      <c r="BA130" s="493">
        <f t="shared" si="128"/>
        <v>0</v>
      </c>
      <c r="BB130" s="493">
        <f t="shared" si="129"/>
        <v>0</v>
      </c>
      <c r="BC130" s="493">
        <f t="shared" si="130"/>
        <v>0</v>
      </c>
      <c r="BD130" s="493">
        <f t="shared" si="131"/>
        <v>0</v>
      </c>
      <c r="BE130" s="493">
        <f t="shared" si="123"/>
        <v>0</v>
      </c>
      <c r="BF130" s="493" t="str">
        <f t="shared" si="124"/>
        <v/>
      </c>
    </row>
    <row r="131" spans="1:58" x14ac:dyDescent="0.2">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644</v>
      </c>
      <c r="AV131" s="88" t="s">
        <v>80</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x14ac:dyDescent="0.2">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648</v>
      </c>
      <c r="AV132" s="88" t="s">
        <v>80</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x14ac:dyDescent="0.2">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651</v>
      </c>
      <c r="AV133" s="88" t="s">
        <v>80</v>
      </c>
      <c r="AW133" s="493">
        <f t="shared" si="132"/>
        <v>0</v>
      </c>
      <c r="AX133" s="493">
        <f t="shared" si="125"/>
        <v>0</v>
      </c>
      <c r="AY133" s="493">
        <f t="shared" si="126"/>
        <v>0</v>
      </c>
      <c r="AZ133" s="493">
        <f t="shared" si="127"/>
        <v>0</v>
      </c>
      <c r="BA133" s="493">
        <f t="shared" si="128"/>
        <v>0</v>
      </c>
      <c r="BB133" s="493">
        <f t="shared" si="129"/>
        <v>0</v>
      </c>
      <c r="BC133" s="493">
        <f t="shared" si="130"/>
        <v>0</v>
      </c>
      <c r="BD133" s="493">
        <f t="shared" si="131"/>
        <v>0</v>
      </c>
      <c r="BE133" s="493">
        <f t="shared" si="123"/>
        <v>0</v>
      </c>
      <c r="BF133" s="493" t="str">
        <f t="shared" si="124"/>
        <v/>
      </c>
    </row>
    <row r="134" spans="1:58" x14ac:dyDescent="0.2">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697</v>
      </c>
      <c r="AV134" s="88" t="s">
        <v>82</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2">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760</v>
      </c>
      <c r="AV135" s="119" t="s">
        <v>84</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2">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790</v>
      </c>
      <c r="AV136" s="88" t="s">
        <v>83</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2">
      <c r="AU137" s="104" t="s">
        <v>793</v>
      </c>
      <c r="AV137" s="88" t="s">
        <v>83</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2">
      <c r="AU138" s="104" t="s">
        <v>796</v>
      </c>
      <c r="AV138" s="88" t="s">
        <v>83</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2">
      <c r="AU139" s="104" t="s">
        <v>799</v>
      </c>
      <c r="AV139" s="88" t="s">
        <v>83</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2">
      <c r="AU140" s="104" t="s">
        <v>802</v>
      </c>
      <c r="AV140" s="88" t="s">
        <v>83</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75" x14ac:dyDescent="0.4">
      <c r="A141" s="325" t="s">
        <v>102</v>
      </c>
      <c r="AU141" s="104" t="s">
        <v>805</v>
      </c>
      <c r="AV141" s="88" t="s">
        <v>83</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2">
      <c r="AU142" s="104" t="s">
        <v>808</v>
      </c>
      <c r="AV142" s="88" t="s">
        <v>83</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2">
      <c r="AU143" s="130" t="s">
        <v>817</v>
      </c>
      <c r="AV143" s="119" t="s">
        <v>877</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5" x14ac:dyDescent="0.3">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820</v>
      </c>
      <c r="AV144" s="119" t="s">
        <v>877</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71.25" x14ac:dyDescent="0.2">
      <c r="A145" s="103" t="s">
        <v>878</v>
      </c>
      <c r="B145" s="103" t="s">
        <v>166</v>
      </c>
      <c r="C145" s="103" t="s">
        <v>879</v>
      </c>
      <c r="D145" s="103" t="s">
        <v>829</v>
      </c>
      <c r="E145" s="103" t="s">
        <v>880</v>
      </c>
      <c r="F145" s="103" t="s">
        <v>831</v>
      </c>
      <c r="G145" s="103" t="s">
        <v>881</v>
      </c>
      <c r="H145" s="103" t="s">
        <v>882</v>
      </c>
      <c r="I145" s="103" t="s">
        <v>883</v>
      </c>
      <c r="J145" s="103" t="s">
        <v>835</v>
      </c>
      <c r="K145" s="103" t="s">
        <v>884</v>
      </c>
      <c r="L145" s="103" t="s">
        <v>837</v>
      </c>
      <c r="M145" s="103" t="s">
        <v>885</v>
      </c>
      <c r="N145" s="103" t="s">
        <v>839</v>
      </c>
      <c r="O145" s="103" t="s">
        <v>886</v>
      </c>
      <c r="P145" s="103" t="s">
        <v>887</v>
      </c>
      <c r="Q145" s="103" t="s">
        <v>888</v>
      </c>
      <c r="R145" s="103" t="s">
        <v>843</v>
      </c>
      <c r="S145" s="103" t="s">
        <v>889</v>
      </c>
      <c r="T145" s="103" t="s">
        <v>890</v>
      </c>
      <c r="U145" s="103" t="s">
        <v>891</v>
      </c>
      <c r="V145" s="103" t="s">
        <v>892</v>
      </c>
      <c r="W145" s="103" t="s">
        <v>893</v>
      </c>
      <c r="X145" s="103" t="s">
        <v>894</v>
      </c>
      <c r="Y145" s="103" t="s">
        <v>895</v>
      </c>
      <c r="Z145" s="103" t="s">
        <v>896</v>
      </c>
      <c r="AA145" s="103" t="s">
        <v>897</v>
      </c>
      <c r="AB145" s="103" t="s">
        <v>898</v>
      </c>
      <c r="AC145" s="103" t="s">
        <v>899</v>
      </c>
      <c r="AD145" s="103" t="s">
        <v>900</v>
      </c>
      <c r="AE145" s="103" t="s">
        <v>901</v>
      </c>
      <c r="AF145" s="103" t="s">
        <v>857</v>
      </c>
      <c r="AU145" s="326" t="s">
        <v>527</v>
      </c>
      <c r="AV145" s="327" t="s">
        <v>77</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2">
      <c r="A146" s="104" t="str">
        <f>'G-6 Hedgerow Data'!B3</f>
        <v>Native Species Rich Hedgerow with trees - Associated with bank or ditch</v>
      </c>
      <c r="B146" s="88" t="s">
        <v>902</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606</v>
      </c>
      <c r="AV146" s="327" t="s">
        <v>80</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2">
      <c r="A147" s="104" t="str">
        <f>'G-6 Hedgerow Data'!B4</f>
        <v>Native Species Rich Hedgerow with trees</v>
      </c>
      <c r="B147" s="88" t="s">
        <v>902</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0.80600000000000005</v>
      </c>
      <c r="L147" s="493">
        <f>SUMIF('B-2 Site Hedge Creation'!$D$12:$D$259,'G-2 Habitat groups'!A147,'B-2 Site Hedge Creation'!$W$12:$W$259)</f>
        <v>8.1818526552867006</v>
      </c>
      <c r="M147" s="493">
        <f>SUMIF('B-3 Site Hedge Enhancement'!$M$12:$M$257,'G-2 Habitat groups'!A147,'B-3 Site Hedge Enhancement'!$P$12:$P$257)</f>
        <v>0</v>
      </c>
      <c r="N147" s="493">
        <f>SUMIF('B-3 Site Hedge Enhancement'!$M$12:$M$257,'G-2 Habitat groups'!A147,'B-3 Site Hedge Enhancement'!$AH$12:$AH$257)</f>
        <v>0</v>
      </c>
      <c r="O147" s="493">
        <f t="shared" si="143"/>
        <v>0.80600000000000005</v>
      </c>
      <c r="P147" s="493">
        <f t="shared" si="144"/>
        <v>8.1818526552867006</v>
      </c>
      <c r="Q147" s="493">
        <f t="shared" si="145"/>
        <v>0.80600000000000005</v>
      </c>
      <c r="R147" s="493">
        <f t="shared" si="146"/>
        <v>8.1818526552867006</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0.80600000000000005</v>
      </c>
      <c r="AF147" s="493">
        <f t="shared" si="150"/>
        <v>8.1818526552867006</v>
      </c>
    </row>
    <row r="148" spans="1:59" x14ac:dyDescent="0.2">
      <c r="A148" s="104" t="str">
        <f>'G-6 Hedgerow Data'!B5</f>
        <v>Native Species Rich Hedgerow - Associated with bank or ditch</v>
      </c>
      <c r="B148" s="88" t="s">
        <v>902</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x14ac:dyDescent="0.2">
      <c r="A149" s="104" t="str">
        <f>'G-6 Hedgerow Data'!B6</f>
        <v>Native Hedgerow with trees - Associated with bank or ditch</v>
      </c>
      <c r="B149" s="88" t="s">
        <v>902</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4.5" x14ac:dyDescent="0.45">
      <c r="A150" s="326" t="str">
        <f>'G-6 Hedgerow Data'!B7</f>
        <v>Native Species Rich Hedgerow</v>
      </c>
      <c r="B150" s="327" t="s">
        <v>902</v>
      </c>
      <c r="C150" s="327" t="str">
        <f>'G-6 Hedgerow Data'!C7</f>
        <v>Medium</v>
      </c>
      <c r="D150" s="327" t="str">
        <f>'G-6 Hedgerow Data'!AH7</f>
        <v>Like for like or better</v>
      </c>
      <c r="E150" s="591">
        <f>SUMIF('B-1 Site Hedge Baseline'!$D$10:$D$257,'G-2 Habitat groups'!A150,'B-1 Site Hedge Baseline'!$E$10:$E$257)</f>
        <v>0.12</v>
      </c>
      <c r="F150" s="591">
        <f>SUMIF('B-1 Site Hedge Baseline'!$D$10:$D$257,'G-2 Habitat groups'!A150,'B-1 Site Hedge Baseline'!$N$10:$N$257)</f>
        <v>1.6559999999999999</v>
      </c>
      <c r="G150" s="591">
        <f>SUMIF('B-1 Site Hedge Baseline'!$D$10:$D$257,'G-2 Habitat groups'!A150,'B-1 Site Hedge Baseline'!$P$10:$P$257)</f>
        <v>0.12</v>
      </c>
      <c r="H150" s="591">
        <f>SUMIF('B-1 Site Hedge Baseline'!$D$10:$D$257,'G-2 Habitat groups'!A150,'B-1 Site Hedge Baseline'!$R$10:$R$257)</f>
        <v>1.6559999999999999</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0.125</v>
      </c>
      <c r="L150" s="591">
        <f>SUMIF('B-2 Site Hedge Creation'!$D$12:$D$259,'G-2 Habitat groups'!A150,'B-2 Site Hedge Creation'!$W$12:$W$259)</f>
        <v>1.1249076222074998</v>
      </c>
      <c r="M150" s="591">
        <f>SUMIF('B-3 Site Hedge Enhancement'!$M$12:$M$257,'G-2 Habitat groups'!A150,'B-3 Site Hedge Enhancement'!$P$12:$P$257)</f>
        <v>0</v>
      </c>
      <c r="N150" s="591">
        <f>SUMIF('B-3 Site Hedge Enhancement'!$M$12:$M$257,'G-2 Habitat groups'!A150,'B-3 Site Hedge Enhancement'!$AH$12:$AH$257)</f>
        <v>0</v>
      </c>
      <c r="O150" s="591">
        <f t="shared" si="143"/>
        <v>0.245</v>
      </c>
      <c r="P150" s="591">
        <f t="shared" si="144"/>
        <v>2.7809076222074998</v>
      </c>
      <c r="Q150" s="591">
        <f t="shared" si="145"/>
        <v>0.125</v>
      </c>
      <c r="R150" s="591">
        <f t="shared" si="146"/>
        <v>1.1249076222074998</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0.125</v>
      </c>
      <c r="AF150" s="591">
        <f t="shared" si="150"/>
        <v>1.1249076222074998</v>
      </c>
      <c r="AU150" s="359" t="s">
        <v>903</v>
      </c>
      <c r="AV150" s="99"/>
      <c r="AW150" s="99"/>
      <c r="AX150" s="99"/>
      <c r="AY150" s="99"/>
      <c r="AZ150" s="99"/>
      <c r="BA150" s="99"/>
      <c r="BB150" s="99"/>
      <c r="BC150" s="99"/>
      <c r="BD150" s="99"/>
      <c r="BE150" s="99"/>
      <c r="BF150" s="99"/>
      <c r="BG150" s="121"/>
    </row>
    <row r="151" spans="1:59" ht="31.5" x14ac:dyDescent="0.25">
      <c r="A151" s="326" t="str">
        <f>'G-6 Hedgerow Data'!B8</f>
        <v>Native Hedgerow - Associated with bank or ditch</v>
      </c>
      <c r="B151" s="327" t="s">
        <v>902</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179</v>
      </c>
      <c r="AV151" s="88" t="s">
        <v>166</v>
      </c>
      <c r="AW151" s="120" t="s">
        <v>859</v>
      </c>
      <c r="AX151" s="120" t="s">
        <v>864</v>
      </c>
      <c r="AY151" s="120" t="s">
        <v>861</v>
      </c>
      <c r="AZ151" s="120" t="s">
        <v>862</v>
      </c>
      <c r="BA151" s="120" t="s">
        <v>863</v>
      </c>
      <c r="BB151" s="120" t="s">
        <v>167</v>
      </c>
      <c r="BC151" s="120" t="s">
        <v>865</v>
      </c>
      <c r="BD151" s="128" t="s">
        <v>866</v>
      </c>
      <c r="BE151" s="120" t="s">
        <v>867</v>
      </c>
      <c r="BF151" s="128" t="s">
        <v>876</v>
      </c>
    </row>
    <row r="152" spans="1:59" x14ac:dyDescent="0.2">
      <c r="A152" s="104" t="str">
        <f>'G-6 Hedgerow Data'!B9</f>
        <v>Native Hedgerow with trees</v>
      </c>
      <c r="B152" s="88" t="s">
        <v>902</v>
      </c>
      <c r="C152" s="88" t="str">
        <f>'G-6 Hedgerow Data'!C9</f>
        <v>Medium</v>
      </c>
      <c r="D152" s="88" t="str">
        <f>'G-6 Hedgerow Data'!AH9</f>
        <v>Like for like or better</v>
      </c>
      <c r="E152" s="493">
        <f>SUMIF('B-1 Site Hedge Baseline'!$D$10:$D$257,'G-2 Habitat groups'!A152,'B-1 Site Hedge Baseline'!$E$10:$E$257)</f>
        <v>0.61499999999999999</v>
      </c>
      <c r="F152" s="493">
        <f>SUMIF('B-1 Site Hedge Baseline'!$D$10:$D$257,'G-2 Habitat groups'!A152,'B-1 Site Hedge Baseline'!$N$10:$N$257)</f>
        <v>7.7417999999999996</v>
      </c>
      <c r="G152" s="493">
        <f>SUMIF('B-1 Site Hedge Baseline'!$D$10:$D$257,'G-2 Habitat groups'!A152,'B-1 Site Hedge Baseline'!$P$10:$P$257)</f>
        <v>0.45300000000000001</v>
      </c>
      <c r="H152" s="493">
        <f>SUMIF('B-1 Site Hedge Baseline'!$D$10:$D$257,'G-2 Habitat groups'!A152,'B-1 Site Hedge Baseline'!$R$10:$R$257)</f>
        <v>6.2513999999999994</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2.984</v>
      </c>
      <c r="N152" s="493">
        <f ca="1">SUMIF('B-3 Site Hedge Enhancement'!$M$12:$M$257,'G-2 Habitat groups'!A152,'B-3 Site Hedge Enhancement'!$AH$12:$AH$257)</f>
        <v>32.828693827447317</v>
      </c>
      <c r="O152" s="493">
        <f t="shared" si="143"/>
        <v>3.4369999999999998</v>
      </c>
      <c r="P152" s="493">
        <f t="shared" ca="1" si="144"/>
        <v>39.080093827447314</v>
      </c>
      <c r="Q152" s="493">
        <f t="shared" si="145"/>
        <v>2.8220000000000001</v>
      </c>
      <c r="R152" s="493">
        <f t="shared" ca="1" si="146"/>
        <v>31.338293827447316</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2.8220000000000001</v>
      </c>
      <c r="AF152" s="493">
        <f t="shared" ca="1" si="150"/>
        <v>31.338293827447316</v>
      </c>
      <c r="AU152" s="104" t="s">
        <v>601</v>
      </c>
      <c r="AV152" s="88" t="s">
        <v>80</v>
      </c>
      <c r="AW152" s="493">
        <f>VLOOKUP($AU152,AllHabsSummaryData,5,FALSE)</f>
        <v>0.87450000000000006</v>
      </c>
      <c r="AX152" s="493">
        <f>VLOOKUP($AU152,AllHabsSummaryData,10,FALSE)</f>
        <v>0</v>
      </c>
      <c r="AY152" s="493">
        <f>VLOOKUP($AU152,AllHabsSummaryData,15,FALSE)</f>
        <v>0.53749999999999998</v>
      </c>
      <c r="AZ152" s="493">
        <f>VLOOKUP($AU152,AllHabsSummaryData,16,FALSE)</f>
        <v>0</v>
      </c>
      <c r="BA152" s="493">
        <f>VLOOKUP($AU152,AllHabsSummaryData,17,FALSE)</f>
        <v>-0.33700000000000008</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2">
      <c r="A153" s="104" t="str">
        <f>'G-6 Hedgerow Data'!B10</f>
        <v>Line of Trees (Ecologically Valuable)</v>
      </c>
      <c r="B153" s="88" t="s">
        <v>902</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609</v>
      </c>
      <c r="AV153" s="88" t="s">
        <v>80</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2">
      <c r="A154" s="104" t="str">
        <f>'G-6 Hedgerow Data'!B11</f>
        <v>Line of Trees (Ecologically Valuable) - with Bank or Ditch</v>
      </c>
      <c r="B154" s="88" t="s">
        <v>902</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613</v>
      </c>
      <c r="AV154" s="88" t="s">
        <v>80</v>
      </c>
      <c r="AW154" s="493">
        <f>VLOOKUP($AU154,AllHabsSummaryData,5,FALSE)</f>
        <v>5.0000000000000001E-3</v>
      </c>
      <c r="AX154" s="493">
        <f>VLOOKUP($AU154,AllHabsSummaryData,10,FALSE)</f>
        <v>0</v>
      </c>
      <c r="AY154" s="493">
        <f>VLOOKUP($AU154,AllHabsSummaryData,15,FALSE)</f>
        <v>5.0000000000000001E-3</v>
      </c>
      <c r="AZ154" s="493">
        <f>VLOOKUP($AU154,AllHabsSummaryData,16,FALSE)</f>
        <v>0</v>
      </c>
      <c r="BA154" s="493">
        <f>VLOOKUP($AU154,AllHabsSummaryData,17,FALSE)</f>
        <v>0</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2">
      <c r="A155" s="104" t="str">
        <f>'G-6 Hedgerow Data'!B12</f>
        <v>Native Hedgerow</v>
      </c>
      <c r="B155" s="88" t="s">
        <v>902</v>
      </c>
      <c r="C155" s="88" t="str">
        <f>'G-6 Hedgerow Data'!C12</f>
        <v>Low</v>
      </c>
      <c r="D155" s="88" t="str">
        <f>'G-6 Hedgerow Data'!AH12</f>
        <v>Same distinctiveness band or better</v>
      </c>
      <c r="E155" s="493">
        <f>SUMIF('B-1 Site Hedge Baseline'!$D$10:$D$257,'G-2 Habitat groups'!A155,'B-1 Site Hedge Baseline'!$E$10:$E$257)</f>
        <v>3.9550000000000001</v>
      </c>
      <c r="F155" s="493">
        <f>SUMIF('B-1 Site Hedge Baseline'!$D$10:$D$257,'G-2 Habitat groups'!A155,'B-1 Site Hedge Baseline'!$N$10:$N$257)</f>
        <v>15.248999999999997</v>
      </c>
      <c r="G155" s="493">
        <f>SUMIF('B-1 Site Hedge Baseline'!$D$10:$D$257,'G-2 Habitat groups'!A155,'B-1 Site Hedge Baseline'!$P$10:$P$257)</f>
        <v>0.38600000000000001</v>
      </c>
      <c r="H155" s="493">
        <f>SUMIF('B-1 Site Hedge Baseline'!$D$10:$D$257,'G-2 Habitat groups'!A155,'B-1 Site Hedge Baseline'!$R$10:$R$257)</f>
        <v>2.1182999999999996</v>
      </c>
      <c r="I155" s="493">
        <f>SUMIF('B-1 Site Hedge Baseline'!$D$10:$D$257,'G-2 Habitat groups'!A155,'B-1 Site Hedge Baseline'!$T$10:$T$257)</f>
        <v>0</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0.747</v>
      </c>
      <c r="N155" s="493">
        <f ca="1">SUMIF('B-3 Site Hedge Enhancement'!$M$12:$M$257,'G-2 Habitat groups'!A155,'B-3 Site Hedge Enhancement'!$AH$12:$AH$257)</f>
        <v>3.2620398539625</v>
      </c>
      <c r="O155" s="493">
        <f t="shared" si="143"/>
        <v>1.133</v>
      </c>
      <c r="P155" s="493">
        <f t="shared" ca="1" si="144"/>
        <v>5.3803398539625</v>
      </c>
      <c r="Q155" s="493">
        <f t="shared" si="145"/>
        <v>-2.8220000000000001</v>
      </c>
      <c r="R155" s="493">
        <f t="shared" ca="1" si="146"/>
        <v>-9.868660146037497</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-2.8220000000000001</v>
      </c>
      <c r="AF155" s="493">
        <f t="shared" ca="1" si="150"/>
        <v>-9.868660146037497</v>
      </c>
      <c r="AU155" s="104" t="s">
        <v>646</v>
      </c>
      <c r="AV155" s="88" t="s">
        <v>80</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2">
      <c r="A156" s="104" t="str">
        <f>'G-6 Hedgerow Data'!B13</f>
        <v>Line of Trees</v>
      </c>
      <c r="B156" s="88" t="s">
        <v>902</v>
      </c>
      <c r="C156" s="88" t="str">
        <f>'G-6 Hedgerow Data'!C13</f>
        <v>Low</v>
      </c>
      <c r="D156" s="88" t="str">
        <f>'G-6 Hedgerow Data'!AH13</f>
        <v>Same distinctiveness band or better</v>
      </c>
      <c r="E156" s="493">
        <f>SUMIF('B-1 Site Hedge Baseline'!$D$10:$D$257,'G-2 Habitat groups'!A156,'B-1 Site Hedge Baseline'!$E$10:$E$257)</f>
        <v>0.63</v>
      </c>
      <c r="F156" s="493">
        <f>SUMIF('B-1 Site Hedge Baseline'!$D$10:$D$257,'G-2 Habitat groups'!A156,'B-1 Site Hedge Baseline'!$N$10:$N$257)</f>
        <v>2.0998999999999999</v>
      </c>
      <c r="G156" s="493">
        <f>SUMIF('B-1 Site Hedge Baseline'!$D$10:$D$257,'G-2 Habitat groups'!A156,'B-1 Site Hedge Baseline'!$P$10:$P$257)</f>
        <v>5.1999999999999998E-2</v>
      </c>
      <c r="H156" s="493">
        <f>SUMIF('B-1 Site Hedge Baseline'!$D$10:$D$257,'G-2 Habitat groups'!A156,'B-1 Site Hedge Baseline'!$R$10:$R$257)</f>
        <v>0.35879999999999995</v>
      </c>
      <c r="I156" s="493">
        <f>SUMIF('B-1 Site Hedge Baseline'!$D$10:$D$257,'G-2 Habitat groups'!A156,'B-1 Site Hedge Baseline'!$T$10:$T$257)</f>
        <v>0.57800000000000007</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5.1999999999999998E-2</v>
      </c>
      <c r="P156" s="493">
        <f t="shared" si="144"/>
        <v>0.35879999999999995</v>
      </c>
      <c r="Q156" s="493">
        <f t="shared" si="145"/>
        <v>-0.57799999999999996</v>
      </c>
      <c r="R156" s="493">
        <f t="shared" si="146"/>
        <v>-1.7410999999999999</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-0.57799999999999996</v>
      </c>
      <c r="AF156" s="493">
        <f t="shared" si="150"/>
        <v>-1.7410999999999999</v>
      </c>
    </row>
    <row r="157" spans="1:59" x14ac:dyDescent="0.2">
      <c r="A157" s="104" t="str">
        <f>'G-6 Hedgerow Data'!B14</f>
        <v>Line of Trees - Associated with bank or ditch</v>
      </c>
      <c r="B157" s="88" t="s">
        <v>902</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2">
      <c r="A158" s="104" t="str">
        <f>'G-6 Hedgerow Data'!B15</f>
        <v>Hedge Ornamental Non Native</v>
      </c>
      <c r="B158" s="88" t="s">
        <v>902</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75" x14ac:dyDescent="0.4">
      <c r="A163" s="325" t="s">
        <v>142</v>
      </c>
    </row>
    <row r="166" spans="1:32" ht="22.5" x14ac:dyDescent="0.3">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x14ac:dyDescent="0.2">
      <c r="A167" s="103" t="s">
        <v>904</v>
      </c>
      <c r="B167" s="103" t="s">
        <v>166</v>
      </c>
      <c r="C167" s="103" t="s">
        <v>879</v>
      </c>
      <c r="D167" s="103" t="s">
        <v>829</v>
      </c>
      <c r="E167" s="103" t="s">
        <v>880</v>
      </c>
      <c r="F167" s="103" t="s">
        <v>831</v>
      </c>
      <c r="G167" s="103" t="s">
        <v>881</v>
      </c>
      <c r="H167" s="103" t="s">
        <v>882</v>
      </c>
      <c r="I167" s="103" t="s">
        <v>883</v>
      </c>
      <c r="J167" s="103" t="s">
        <v>835</v>
      </c>
      <c r="K167" s="103" t="s">
        <v>884</v>
      </c>
      <c r="L167" s="103" t="s">
        <v>837</v>
      </c>
      <c r="M167" s="103" t="s">
        <v>885</v>
      </c>
      <c r="N167" s="103" t="s">
        <v>839</v>
      </c>
      <c r="O167" s="103" t="s">
        <v>886</v>
      </c>
      <c r="P167" s="103" t="s">
        <v>887</v>
      </c>
      <c r="Q167" s="103" t="s">
        <v>888</v>
      </c>
      <c r="R167" s="103" t="s">
        <v>843</v>
      </c>
      <c r="S167" s="103" t="s">
        <v>889</v>
      </c>
      <c r="T167" s="103" t="s">
        <v>890</v>
      </c>
      <c r="U167" s="103" t="s">
        <v>891</v>
      </c>
      <c r="V167" s="103" t="s">
        <v>892</v>
      </c>
      <c r="W167" s="103" t="s">
        <v>893</v>
      </c>
      <c r="X167" s="103" t="s">
        <v>894</v>
      </c>
      <c r="Y167" s="103" t="s">
        <v>895</v>
      </c>
      <c r="Z167" s="103" t="s">
        <v>896</v>
      </c>
      <c r="AA167" s="103" t="s">
        <v>897</v>
      </c>
      <c r="AB167" s="103" t="s">
        <v>898</v>
      </c>
      <c r="AC167" s="103" t="s">
        <v>899</v>
      </c>
      <c r="AD167" s="103" t="s">
        <v>900</v>
      </c>
      <c r="AE167" s="103" t="s">
        <v>901</v>
      </c>
      <c r="AF167" s="103" t="s">
        <v>857</v>
      </c>
    </row>
    <row r="168" spans="1:32" x14ac:dyDescent="0.2">
      <c r="A168" s="104" t="str">
        <f>'G-7 Rivers Data'!B4</f>
        <v>Priority Habitat</v>
      </c>
      <c r="B168" s="88" t="s">
        <v>905</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x14ac:dyDescent="0.2">
      <c r="A169" s="104" t="str">
        <f>'G-7 Rivers Data'!B5</f>
        <v>Other Rivers and Streams</v>
      </c>
      <c r="B169" s="88" t="s">
        <v>905</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x14ac:dyDescent="0.2">
      <c r="A170" s="104" t="str">
        <f>'G-7 Rivers Data'!B6</f>
        <v>Ditches</v>
      </c>
      <c r="B170" s="88" t="s">
        <v>905</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x14ac:dyDescent="0.2">
      <c r="A171" s="104" t="str">
        <f>'G-7 Rivers Data'!B7</f>
        <v>Canals</v>
      </c>
      <c r="B171" s="88" t="s">
        <v>905</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2">
      <c r="A172" s="104" t="str">
        <f>'G-7 Rivers Data'!B8</f>
        <v>Culvert</v>
      </c>
      <c r="B172" s="88" t="s">
        <v>905</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4.25" zeroHeight="1" x14ac:dyDescent="0.2"/>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x14ac:dyDescent="0.4">
      <c r="A1" s="825" t="s">
        <v>906</v>
      </c>
      <c r="B1" s="826"/>
      <c r="C1" s="826"/>
      <c r="D1" s="826"/>
      <c r="E1" s="827"/>
      <c r="J1" s="285"/>
      <c r="L1" s="825" t="s">
        <v>907</v>
      </c>
      <c r="M1" s="826"/>
      <c r="N1" s="827"/>
      <c r="P1" s="825" t="s">
        <v>316</v>
      </c>
      <c r="Q1" s="827"/>
    </row>
    <row r="2" spans="1:26" ht="42" customHeight="1" thickBot="1" x14ac:dyDescent="0.4">
      <c r="A2" s="286" t="s">
        <v>828</v>
      </c>
      <c r="B2" s="200" t="s">
        <v>385</v>
      </c>
      <c r="C2" s="200" t="s">
        <v>349</v>
      </c>
      <c r="D2" s="200" t="s">
        <v>386</v>
      </c>
      <c r="E2" s="286" t="s">
        <v>349</v>
      </c>
      <c r="H2" s="1048" t="s">
        <v>908</v>
      </c>
      <c r="I2" s="1049"/>
      <c r="J2" s="1050"/>
      <c r="L2" s="1045" t="s">
        <v>909</v>
      </c>
      <c r="M2" s="1046"/>
      <c r="N2" s="1047"/>
      <c r="P2" s="286" t="s">
        <v>910</v>
      </c>
      <c r="Q2" s="286" t="s">
        <v>911</v>
      </c>
      <c r="S2" s="863" t="s">
        <v>912</v>
      </c>
      <c r="T2" s="876"/>
      <c r="W2" s="825" t="s">
        <v>913</v>
      </c>
      <c r="X2" s="826"/>
      <c r="Y2" s="826"/>
      <c r="Z2" s="827"/>
    </row>
    <row r="3" spans="1:26" x14ac:dyDescent="0.2">
      <c r="A3" s="110" t="str">
        <f>'G-1 All Habitats'!B99</f>
        <v>Coastal lagoons - Coastal lagoons</v>
      </c>
      <c r="B3" s="543" t="str">
        <f>'G-1 All Habitats'!N99</f>
        <v>Medium</v>
      </c>
      <c r="C3" s="543">
        <f>'G-1 All Habitats'!O99</f>
        <v>0.67</v>
      </c>
      <c r="D3" s="543" t="str">
        <f>'G-1 All Habitats'!P99</f>
        <v>Medium</v>
      </c>
      <c r="E3" s="543">
        <f>'G-1 All Habitats'!Q99</f>
        <v>0.67</v>
      </c>
      <c r="H3" s="103" t="s">
        <v>212</v>
      </c>
      <c r="I3" s="279" t="s">
        <v>914</v>
      </c>
      <c r="J3" s="279" t="s">
        <v>915</v>
      </c>
      <c r="L3" s="279" t="s">
        <v>914</v>
      </c>
      <c r="M3" s="103" t="s">
        <v>916</v>
      </c>
      <c r="N3" s="279" t="s">
        <v>349</v>
      </c>
      <c r="P3" s="130" t="s">
        <v>162</v>
      </c>
      <c r="Q3" s="543">
        <v>1</v>
      </c>
      <c r="S3" s="286" t="s">
        <v>72</v>
      </c>
      <c r="T3" s="286" t="s">
        <v>349</v>
      </c>
      <c r="W3" s="286" t="s">
        <v>22</v>
      </c>
      <c r="X3" s="286" t="s">
        <v>917</v>
      </c>
      <c r="Y3" s="286" t="s">
        <v>918</v>
      </c>
      <c r="Z3" s="286" t="s">
        <v>919</v>
      </c>
    </row>
    <row r="4" spans="1:26" ht="42.75" x14ac:dyDescent="0.2">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159</v>
      </c>
      <c r="I4" s="147" t="s">
        <v>920</v>
      </c>
      <c r="J4" s="188">
        <v>1.1499999999999999</v>
      </c>
      <c r="L4" s="130" t="s">
        <v>231</v>
      </c>
      <c r="M4" s="519" t="s">
        <v>921</v>
      </c>
      <c r="N4" s="543">
        <v>1.1499999999999999</v>
      </c>
      <c r="P4" s="130" t="s">
        <v>29</v>
      </c>
      <c r="Q4" s="543">
        <v>0.67</v>
      </c>
      <c r="S4" s="130" t="s">
        <v>922</v>
      </c>
      <c r="T4" s="519">
        <v>1</v>
      </c>
      <c r="W4" s="104" t="s">
        <v>28</v>
      </c>
      <c r="X4" s="543">
        <v>0.3</v>
      </c>
      <c r="Y4" s="543">
        <f>X4*12</f>
        <v>3.5999999999999996</v>
      </c>
      <c r="Z4" s="657">
        <f>3.14*(Y4*Y4)/10000</f>
        <v>4.0694399999999997E-3</v>
      </c>
    </row>
    <row r="5" spans="1:26" ht="42.75" x14ac:dyDescent="0.2">
      <c r="A5" s="110" t="str">
        <f>'G-1 All Habitats'!B3</f>
        <v>Cropland - Arable field margins cultivated annually</v>
      </c>
      <c r="B5" s="543" t="str">
        <f>'G-1 All Habitats'!N3</f>
        <v>Low</v>
      </c>
      <c r="C5" s="543">
        <f>'G-1 All Habitats'!O3</f>
        <v>1</v>
      </c>
      <c r="D5" s="543" t="str">
        <f>'G-1 All Habitats'!P3</f>
        <v>Low</v>
      </c>
      <c r="E5" s="543">
        <f>'G-1 All Habitats'!Q3</f>
        <v>1</v>
      </c>
      <c r="H5" s="130" t="s">
        <v>29</v>
      </c>
      <c r="I5" s="147" t="s">
        <v>923</v>
      </c>
      <c r="J5" s="188">
        <v>1.1000000000000001</v>
      </c>
      <c r="L5" s="130" t="s">
        <v>924</v>
      </c>
      <c r="M5" s="519" t="s">
        <v>925</v>
      </c>
      <c r="N5" s="543">
        <v>1.1000000000000001</v>
      </c>
      <c r="P5" s="130" t="s">
        <v>159</v>
      </c>
      <c r="Q5" s="543">
        <v>0.33</v>
      </c>
      <c r="S5" s="130" t="s">
        <v>926</v>
      </c>
      <c r="T5" s="519">
        <v>0.75</v>
      </c>
      <c r="W5" s="104" t="s">
        <v>29</v>
      </c>
      <c r="X5" s="543">
        <v>0.9</v>
      </c>
      <c r="Y5" s="543">
        <f t="shared" ref="Y5:Y6" si="0">X5*12</f>
        <v>10.8</v>
      </c>
      <c r="Z5" s="657">
        <f t="shared" ref="Z5:Z6" si="1">3.14*(Y5*Y5)/10000</f>
        <v>3.6624960000000005E-2</v>
      </c>
    </row>
    <row r="6" spans="1:26" ht="42.75" x14ac:dyDescent="0.2">
      <c r="A6" s="110" t="str">
        <f>'G-1 All Habitats'!B4</f>
        <v>Cropland - Arable field margins game bird mix</v>
      </c>
      <c r="B6" s="543" t="str">
        <f>'G-1 All Habitats'!N4</f>
        <v>Low</v>
      </c>
      <c r="C6" s="543">
        <f>'G-1 All Habitats'!O4</f>
        <v>1</v>
      </c>
      <c r="D6" s="543" t="str">
        <f>'G-1 All Habitats'!P4</f>
        <v>Low</v>
      </c>
      <c r="E6" s="543">
        <f>'G-1 All Habitats'!Q4</f>
        <v>1</v>
      </c>
      <c r="H6" s="287" t="s">
        <v>162</v>
      </c>
      <c r="I6" s="147" t="s">
        <v>927</v>
      </c>
      <c r="J6" s="188">
        <v>1</v>
      </c>
      <c r="L6" s="130" t="s">
        <v>928</v>
      </c>
      <c r="M6" s="519" t="s">
        <v>929</v>
      </c>
      <c r="N6" s="543">
        <v>1</v>
      </c>
      <c r="P6" s="130" t="s">
        <v>157</v>
      </c>
      <c r="Q6" s="543">
        <v>0.1</v>
      </c>
      <c r="S6" s="337" t="s">
        <v>930</v>
      </c>
      <c r="T6" s="519">
        <v>0.5</v>
      </c>
      <c r="W6" s="104" t="s">
        <v>30</v>
      </c>
      <c r="X6" s="543">
        <v>1.3</v>
      </c>
      <c r="Y6" s="543">
        <f t="shared" si="0"/>
        <v>15.600000000000001</v>
      </c>
      <c r="Z6" s="657">
        <f t="shared" si="1"/>
        <v>7.6415040000000017E-2</v>
      </c>
    </row>
    <row r="7" spans="1:26" ht="49.9" customHeight="1" x14ac:dyDescent="0.2">
      <c r="A7" s="110" t="str">
        <f>'G-1 All Habitats'!B5</f>
        <v>Cropland - Arable field margins pollen &amp; nectar</v>
      </c>
      <c r="B7" s="543" t="str">
        <f>'G-1 All Habitats'!N5</f>
        <v>Low</v>
      </c>
      <c r="C7" s="543">
        <f>'G-1 All Habitats'!O5</f>
        <v>1</v>
      </c>
      <c r="D7" s="543" t="str">
        <f>'G-1 All Habitats'!P5</f>
        <v>Low</v>
      </c>
      <c r="E7" s="543">
        <f>'G-1 All Habitats'!Q5</f>
        <v>1</v>
      </c>
      <c r="H7" s="287" t="s">
        <v>6</v>
      </c>
      <c r="I7" s="147" t="s">
        <v>931</v>
      </c>
      <c r="J7" s="188">
        <v>1</v>
      </c>
      <c r="S7" s="338" t="s">
        <v>932</v>
      </c>
      <c r="T7" s="519">
        <v>1</v>
      </c>
    </row>
    <row r="8" spans="1:26" ht="49.9" customHeight="1" x14ac:dyDescent="0.2">
      <c r="A8" s="110" t="str">
        <f>'G-1 All Habitats'!B6</f>
        <v>Cropland - Arable field margins tussocky</v>
      </c>
      <c r="B8" s="543" t="str">
        <f>'G-1 All Habitats'!N6</f>
        <v>Low</v>
      </c>
      <c r="C8" s="543">
        <f>'G-1 All Habitats'!O6</f>
        <v>1</v>
      </c>
      <c r="D8" s="543" t="str">
        <f>'G-1 All Habitats'!P6</f>
        <v>Low</v>
      </c>
      <c r="E8" s="543">
        <f>'G-1 All Habitats'!Q6</f>
        <v>1</v>
      </c>
      <c r="S8" s="338" t="s">
        <v>933</v>
      </c>
      <c r="T8" s="519">
        <v>0.75</v>
      </c>
    </row>
    <row r="9" spans="1:26" ht="49.9" customHeight="1" x14ac:dyDescent="0.2">
      <c r="A9" s="110" t="str">
        <f>'G-1 All Habitats'!B7</f>
        <v>Cropland - Cereal crops</v>
      </c>
      <c r="B9" s="543" t="str">
        <f>'G-1 All Habitats'!N7</f>
        <v>Low</v>
      </c>
      <c r="C9" s="543">
        <f>'G-1 All Habitats'!O7</f>
        <v>1</v>
      </c>
      <c r="D9" s="543" t="str">
        <f>'G-1 All Habitats'!P7</f>
        <v>Low</v>
      </c>
      <c r="E9" s="543">
        <f>'G-1 All Habitats'!Q7</f>
        <v>1</v>
      </c>
      <c r="S9" s="338" t="s">
        <v>934</v>
      </c>
      <c r="T9" s="519">
        <v>0.5</v>
      </c>
    </row>
    <row r="10" spans="1:26" x14ac:dyDescent="0.2">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2">
      <c r="A11" s="110" t="str">
        <f>'G-1 All Habitats'!B9</f>
        <v>Cropland - Horticulture</v>
      </c>
      <c r="B11" s="543" t="str">
        <f>'G-1 All Habitats'!N9</f>
        <v>Low</v>
      </c>
      <c r="C11" s="543">
        <f>'G-1 All Habitats'!O9</f>
        <v>1</v>
      </c>
      <c r="D11" s="543" t="str">
        <f>'G-1 All Habitats'!P9</f>
        <v>Low</v>
      </c>
      <c r="E11" s="543">
        <f>'G-1 All Habitats'!Q9</f>
        <v>1</v>
      </c>
    </row>
    <row r="12" spans="1:26" x14ac:dyDescent="0.2">
      <c r="A12" s="110" t="str">
        <f>'G-1 All Habitats'!B10</f>
        <v>Cropland - Intensive orchards</v>
      </c>
      <c r="B12" s="543" t="str">
        <f>'G-1 All Habitats'!N10</f>
        <v>Low</v>
      </c>
      <c r="C12" s="543">
        <f>'G-1 All Habitats'!O10</f>
        <v>1</v>
      </c>
      <c r="D12" s="543" t="str">
        <f>'G-1 All Habitats'!P10</f>
        <v>Low</v>
      </c>
      <c r="E12" s="543">
        <f>'G-1 All Habitats'!Q10</f>
        <v>1</v>
      </c>
    </row>
    <row r="13" spans="1:26" x14ac:dyDescent="0.2">
      <c r="A13" s="110" t="str">
        <f>'G-1 All Habitats'!B11</f>
        <v>Cropland - Non-cereal crops</v>
      </c>
      <c r="B13" s="543" t="str">
        <f>'G-1 All Habitats'!N11</f>
        <v>Low</v>
      </c>
      <c r="C13" s="543">
        <f>'G-1 All Habitats'!O11</f>
        <v>1</v>
      </c>
      <c r="D13" s="543" t="str">
        <f>'G-1 All Habitats'!P11</f>
        <v>Low</v>
      </c>
      <c r="E13" s="543">
        <f>'G-1 All Habitats'!Q11</f>
        <v>1</v>
      </c>
    </row>
    <row r="14" spans="1:26" x14ac:dyDescent="0.2">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2">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2">
      <c r="A16" s="110" t="str">
        <f>'G-1 All Habitats'!B14</f>
        <v>Grassland - Bracken</v>
      </c>
      <c r="B16" s="543" t="str">
        <f>'G-1 All Habitats'!N14</f>
        <v>Low</v>
      </c>
      <c r="C16" s="543">
        <f>'G-1 All Habitats'!O14</f>
        <v>1</v>
      </c>
      <c r="D16" s="543" t="str">
        <f>'G-1 All Habitats'!P14</f>
        <v>Low</v>
      </c>
      <c r="E16" s="543">
        <f>'G-1 All Habitats'!Q14</f>
        <v>1</v>
      </c>
    </row>
    <row r="17" spans="1:5" x14ac:dyDescent="0.2">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2">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2">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2">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2">
      <c r="A21" s="110" t="str">
        <f>'G-1 All Habitats'!B19</f>
        <v>Grassland - Modified grassland</v>
      </c>
      <c r="B21" s="543" t="str">
        <f>'G-1 All Habitats'!N19</f>
        <v>Low</v>
      </c>
      <c r="C21" s="543">
        <f>'G-1 All Habitats'!O19</f>
        <v>1</v>
      </c>
      <c r="D21" s="543" t="str">
        <f>'G-1 All Habitats'!P19</f>
        <v>Low</v>
      </c>
      <c r="E21" s="543">
        <f>'G-1 All Habitats'!Q19</f>
        <v>1</v>
      </c>
    </row>
    <row r="22" spans="1:5" x14ac:dyDescent="0.2">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2">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2">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2">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2">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2">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2">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2">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2">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2">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2">
      <c r="A32" s="110" t="str">
        <f>'G-1 All Habitats'!B30</f>
        <v>Heathland and shrub - Hazel scrub</v>
      </c>
      <c r="B32" s="543" t="s">
        <v>29</v>
      </c>
      <c r="C32" s="543">
        <f>'G-1 All Habitats'!O30</f>
        <v>1</v>
      </c>
      <c r="D32" s="543" t="s">
        <v>29</v>
      </c>
      <c r="E32" s="543">
        <f>'G-1 All Habitats'!Q30</f>
        <v>1</v>
      </c>
    </row>
    <row r="33" spans="1:5" x14ac:dyDescent="0.2">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2">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2">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2">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2">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2">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2">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2">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2">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2">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2">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2">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2">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2">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2">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2">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2">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2">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2">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2">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2">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2">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2">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2">
      <c r="A56" s="110" t="str">
        <f>'G-1 All Habitats'!B42</f>
        <v>Lakes - Marl Lakes</v>
      </c>
      <c r="B56" s="543" t="str">
        <f>'G-1 All Habitats'!N42</f>
        <v>High</v>
      </c>
      <c r="C56" s="543">
        <f>'G-1 All Habitats'!O42</f>
        <v>0.33</v>
      </c>
      <c r="D56" s="543" t="str">
        <f>'G-1 All Habitats'!P42</f>
        <v>High</v>
      </c>
      <c r="E56" s="543">
        <f>'G-1 All Habitats'!Q42</f>
        <v>0.33</v>
      </c>
    </row>
    <row r="57" spans="1:5" x14ac:dyDescent="0.2">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2">
      <c r="A58" s="110" t="str">
        <f>'G-1 All Habitats'!B44</f>
        <v>Lakes - Peat Lakes</v>
      </c>
      <c r="B58" s="543" t="str">
        <f>'G-1 All Habitats'!N44</f>
        <v>High</v>
      </c>
      <c r="C58" s="543">
        <f>'G-1 All Habitats'!O44</f>
        <v>0.33</v>
      </c>
      <c r="D58" s="543" t="str">
        <f>'G-1 All Habitats'!P44</f>
        <v>High</v>
      </c>
      <c r="E58" s="543">
        <f>'G-1 All Habitats'!Q44</f>
        <v>0.33</v>
      </c>
    </row>
    <row r="59" spans="1:5" x14ac:dyDescent="0.2">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2">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2">
      <c r="A61" s="110" t="str">
        <f>'G-1 All Habitats'!B47</f>
        <v>Lakes - Reservoirs</v>
      </c>
      <c r="B61" s="543" t="str">
        <f>'G-1 All Habitats'!N47</f>
        <v>Medium</v>
      </c>
      <c r="C61" s="543">
        <f>'G-1 All Habitats'!O47</f>
        <v>0.67</v>
      </c>
      <c r="D61" s="543" t="str">
        <f>'G-1 All Habitats'!P47</f>
        <v>Medium</v>
      </c>
      <c r="E61" s="543">
        <f>'G-1 All Habitats'!Q47</f>
        <v>0.67</v>
      </c>
    </row>
    <row r="62" spans="1:5" x14ac:dyDescent="0.2">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2">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2">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2">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2">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2">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2">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2">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2">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2">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2">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2">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2">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2">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2">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2">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2">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2">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2">
      <c r="A80" s="110" t="str">
        <f>'G-1 All Habitats'!B57</f>
        <v>Urban - Allotments</v>
      </c>
      <c r="B80" s="543" t="str">
        <f>'G-1 All Habitats'!N57</f>
        <v>Low</v>
      </c>
      <c r="C80" s="543">
        <f>'G-1 All Habitats'!O57</f>
        <v>1</v>
      </c>
      <c r="D80" s="543" t="str">
        <f>'G-1 All Habitats'!P57</f>
        <v>Low</v>
      </c>
      <c r="E80" s="543">
        <f>'G-1 All Habitats'!Q57</f>
        <v>1</v>
      </c>
    </row>
    <row r="81" spans="1:5" x14ac:dyDescent="0.2">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2">
      <c r="A82" s="110" t="str">
        <f>'G-1 All Habitats'!B59</f>
        <v>Urban - Bioswale</v>
      </c>
      <c r="B82" s="543" t="str">
        <f>'G-1 All Habitats'!N59</f>
        <v>Medium</v>
      </c>
      <c r="C82" s="543">
        <f>'G-1 All Habitats'!O59</f>
        <v>0.67</v>
      </c>
      <c r="D82" s="543" t="str">
        <f>'G-1 All Habitats'!P59</f>
        <v>Low</v>
      </c>
      <c r="E82" s="543">
        <f>'G-1 All Habitats'!Q59</f>
        <v>1</v>
      </c>
    </row>
    <row r="83" spans="1:5" x14ac:dyDescent="0.2">
      <c r="A83" s="110" t="str">
        <f>'G-1 All Habitats'!B60</f>
        <v>Urban - Intensive green roof</v>
      </c>
      <c r="B83" s="543" t="str">
        <f>'G-1 All Habitats'!N60</f>
        <v>Low</v>
      </c>
      <c r="C83" s="543">
        <f>'G-1 All Habitats'!O60</f>
        <v>1</v>
      </c>
      <c r="D83" s="543" t="str">
        <f>'G-1 All Habitats'!P60</f>
        <v>Low</v>
      </c>
      <c r="E83" s="543">
        <f>'G-1 All Habitats'!Q60</f>
        <v>1</v>
      </c>
    </row>
    <row r="84" spans="1:5" x14ac:dyDescent="0.2">
      <c r="A84" s="110" t="str">
        <f>'G-1 All Habitats'!B61</f>
        <v>Urban - Built linear features</v>
      </c>
      <c r="B84" s="543" t="str">
        <f>'G-1 All Habitats'!N61</f>
        <v>Low</v>
      </c>
      <c r="C84" s="543">
        <f>'G-1 All Habitats'!O61</f>
        <v>1</v>
      </c>
      <c r="D84" s="543" t="str">
        <f>'G-1 All Habitats'!P61</f>
        <v>Low</v>
      </c>
      <c r="E84" s="543">
        <f>'G-1 All Habitats'!Q61</f>
        <v>1</v>
      </c>
    </row>
    <row r="85" spans="1:5" x14ac:dyDescent="0.2">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2">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2">
      <c r="A87" s="110" t="str">
        <f>'G-1 All Habitats'!B64</f>
        <v>Urban - Other green roof</v>
      </c>
      <c r="B87" s="543" t="str">
        <f>'G-1 All Habitats'!N64</f>
        <v>Low</v>
      </c>
      <c r="C87" s="543">
        <f>'G-1 All Habitats'!O64</f>
        <v>1</v>
      </c>
      <c r="D87" s="543" t="str">
        <f>'G-1 All Habitats'!P64</f>
        <v>Low</v>
      </c>
      <c r="E87" s="543">
        <f>'G-1 All Habitats'!Q64</f>
        <v>1</v>
      </c>
    </row>
    <row r="88" spans="1:5" x14ac:dyDescent="0.2">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2">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2">
      <c r="A90" s="110" t="str">
        <f>'G-1 All Habitats'!B67</f>
        <v>Urban - Ground level planters</v>
      </c>
      <c r="B90" s="543" t="str">
        <f>'G-1 All Habitats'!N67</f>
        <v>Low</v>
      </c>
      <c r="C90" s="543">
        <f>'G-1 All Habitats'!O67</f>
        <v>1</v>
      </c>
      <c r="D90" s="543" t="str">
        <f>'G-1 All Habitats'!P67</f>
        <v>Low</v>
      </c>
      <c r="E90" s="543">
        <f>'G-1 All Habitats'!Q67</f>
        <v>1</v>
      </c>
    </row>
    <row r="91" spans="1:5" x14ac:dyDescent="0.2">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2">
      <c r="A92" s="110" t="str">
        <f>'G-1 All Habitats'!B69</f>
        <v>Urban - Introduced shrub</v>
      </c>
      <c r="B92" s="543" t="str">
        <f>'G-1 All Habitats'!N69</f>
        <v>Low</v>
      </c>
      <c r="C92" s="543">
        <f>'G-1 All Habitats'!O69</f>
        <v>1</v>
      </c>
      <c r="D92" s="543" t="str">
        <f>'G-1 All Habitats'!P69</f>
        <v>Low</v>
      </c>
      <c r="E92" s="543">
        <f>'G-1 All Habitats'!Q69</f>
        <v>1</v>
      </c>
    </row>
    <row r="93" spans="1:5" x14ac:dyDescent="0.2">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2">
      <c r="A94" s="110" t="str">
        <f>'G-1 All Habitats'!B71</f>
        <v>Urban - Rain garden</v>
      </c>
      <c r="B94" s="543" t="str">
        <f>'G-1 All Habitats'!N71</f>
        <v>Low</v>
      </c>
      <c r="C94" s="543">
        <f>'G-1 All Habitats'!O71</f>
        <v>1</v>
      </c>
      <c r="D94" s="543" t="str">
        <f>'G-1 All Habitats'!P71</f>
        <v>Low</v>
      </c>
      <c r="E94" s="543">
        <f>'G-1 All Habitats'!Q71</f>
        <v>1</v>
      </c>
    </row>
    <row r="95" spans="1:5" x14ac:dyDescent="0.2">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2">
      <c r="A96" s="110" t="str">
        <f>'G-1 All Habitats'!B73</f>
        <v>Urban - Urban Tree</v>
      </c>
      <c r="B96" s="543" t="str">
        <f>'G-1 All Habitats'!N73</f>
        <v>Low</v>
      </c>
      <c r="C96" s="543">
        <f>'G-1 All Habitats'!O73</f>
        <v>1</v>
      </c>
      <c r="D96" s="543" t="str">
        <f>'G-1 All Habitats'!P73</f>
        <v>Low</v>
      </c>
      <c r="E96" s="543">
        <f>'G-1 All Habitats'!Q73</f>
        <v>1</v>
      </c>
    </row>
    <row r="97" spans="1:5" x14ac:dyDescent="0.2">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2">
      <c r="A98" s="110" t="str">
        <f>'G-1 All Habitats'!B75</f>
        <v>Urban - Un-vegetated garden</v>
      </c>
      <c r="B98" s="543" t="str">
        <f>'G-1 All Habitats'!N75</f>
        <v>Low</v>
      </c>
      <c r="C98" s="543">
        <f>'G-1 All Habitats'!O75</f>
        <v>1</v>
      </c>
      <c r="D98" s="543" t="str">
        <f>'G-1 All Habitats'!P75</f>
        <v>Low</v>
      </c>
      <c r="E98" s="543">
        <f>'G-1 All Habitats'!Q75</f>
        <v>1</v>
      </c>
    </row>
    <row r="99" spans="1:5" x14ac:dyDescent="0.2">
      <c r="A99" s="110" t="str">
        <f>'G-1 All Habitats'!B77</f>
        <v>Urban - Vegetated garden</v>
      </c>
      <c r="B99" s="543" t="str">
        <f>'G-1 All Habitats'!N77</f>
        <v>Low</v>
      </c>
      <c r="C99" s="543">
        <f>'G-1 All Habitats'!O77</f>
        <v>1</v>
      </c>
      <c r="D99" s="543" t="str">
        <f>'G-1 All Habitats'!P77</f>
        <v>Low</v>
      </c>
      <c r="E99" s="543">
        <f>'G-1 All Habitats'!Q77</f>
        <v>1</v>
      </c>
    </row>
    <row r="100" spans="1:5" x14ac:dyDescent="0.2">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2">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2">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2">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2">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2">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2">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2">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2">
      <c r="A108" s="110" t="str">
        <f>'G-1 All Habitats'!B86</f>
        <v>Woodland and forest - Felled</v>
      </c>
      <c r="B108" s="543" t="s">
        <v>159</v>
      </c>
      <c r="C108" s="543">
        <f>'G-1 All Habitats'!O86</f>
        <v>1</v>
      </c>
      <c r="D108" s="543" t="str">
        <f>'G-1 All Habitats'!P86</f>
        <v>Low</v>
      </c>
      <c r="E108" s="543">
        <f>'G-1 All Habitats'!Q86</f>
        <v>1</v>
      </c>
    </row>
    <row r="109" spans="1:5" x14ac:dyDescent="0.2">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2">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2">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2">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2">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2">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2">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2">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2">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2">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2">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2">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2">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2">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2">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2">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2">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2">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2">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2">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2">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2"/>
    <row r="131" spans="1:5" x14ac:dyDescent="0.2"/>
    <row r="132" spans="1:5" x14ac:dyDescent="0.2"/>
    <row r="133" spans="1:5" x14ac:dyDescent="0.2"/>
    <row r="134" spans="1:5" x14ac:dyDescent="0.2"/>
    <row r="135" spans="1:5" x14ac:dyDescent="0.2"/>
    <row r="136" spans="1:5" x14ac:dyDescent="0.2"/>
    <row r="137" spans="1:5" x14ac:dyDescent="0.2"/>
    <row r="138" spans="1:5" x14ac:dyDescent="0.2"/>
    <row r="139" spans="1:5" x14ac:dyDescent="0.2"/>
    <row r="140" spans="1:5" x14ac:dyDescent="0.2"/>
    <row r="141" spans="1:5" x14ac:dyDescent="0.2"/>
    <row r="142" spans="1:5" x14ac:dyDescent="0.2"/>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x14ac:dyDescent="0.5">
      <c r="B1" s="16"/>
      <c r="C1" s="16"/>
      <c r="E1" s="17"/>
      <c r="F1" s="712"/>
      <c r="G1" s="712"/>
      <c r="H1" s="712"/>
      <c r="I1" s="712"/>
      <c r="J1" s="712"/>
      <c r="K1" s="713"/>
      <c r="L1" s="713"/>
      <c r="M1" s="713"/>
      <c r="N1" s="713"/>
      <c r="O1" s="713"/>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8"/>
      <c r="E10" s="8"/>
      <c r="F10" s="8"/>
      <c r="G10" s="714"/>
      <c r="H10" s="714"/>
      <c r="I10" s="714"/>
      <c r="J10" s="714"/>
      <c r="K10" s="714"/>
      <c r="L10" s="714"/>
      <c r="M10" s="714"/>
      <c r="N10" s="714"/>
      <c r="O10" s="714"/>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c r="B16" s="16"/>
      <c r="C16" s="16"/>
    </row>
    <row r="17" spans="2:3" ht="16.5" customHeight="1" x14ac:dyDescent="0.25">
      <c r="B17" s="16"/>
      <c r="C17" s="16"/>
    </row>
    <row r="18" spans="2:3" ht="16.5" customHeight="1" x14ac:dyDescent="0.25">
      <c r="B18" s="16"/>
      <c r="C18" s="16"/>
    </row>
    <row r="19" spans="2:3" ht="16.5" customHeight="1" x14ac:dyDescent="0.25">
      <c r="B19" s="16"/>
      <c r="C19" s="16"/>
    </row>
    <row r="20" spans="2:3" ht="16.5" customHeight="1" x14ac:dyDescent="0.25">
      <c r="B20" s="16"/>
      <c r="C20" s="16"/>
    </row>
    <row r="21" spans="2:3" ht="16.5" customHeight="1" x14ac:dyDescent="0.25">
      <c r="B21" s="16"/>
      <c r="C21" s="16"/>
    </row>
    <row r="22" spans="2:3" ht="16.5" customHeight="1" x14ac:dyDescent="0.25">
      <c r="B22" s="16"/>
      <c r="C22" s="16"/>
    </row>
    <row r="23" spans="2:3" ht="16.5" customHeight="1" x14ac:dyDescent="0.25">
      <c r="B23" s="16"/>
      <c r="C23" s="16"/>
    </row>
    <row r="24" spans="2:3" ht="16.5" customHeight="1" x14ac:dyDescent="0.25">
      <c r="B24" s="16"/>
      <c r="C24" s="16"/>
    </row>
    <row r="25" spans="2:3" ht="16.5" customHeight="1" x14ac:dyDescent="0.25">
      <c r="B25" s="16"/>
      <c r="C25" s="16"/>
    </row>
    <row r="26" spans="2:3" ht="16.5" customHeight="1" x14ac:dyDescent="0.25">
      <c r="B26" s="16"/>
      <c r="C26" s="16"/>
    </row>
    <row r="27" spans="2:3" ht="16.5" customHeight="1" x14ac:dyDescent="0.25">
      <c r="B27" s="16"/>
      <c r="C27" s="16"/>
    </row>
    <row r="28" spans="2:3" ht="16.5" customHeight="1" x14ac:dyDescent="0.25">
      <c r="B28" s="16"/>
      <c r="C28" s="16"/>
    </row>
    <row r="29" spans="2:3" ht="16.5" customHeight="1" x14ac:dyDescent="0.25">
      <c r="B29" s="16"/>
      <c r="C29" s="16"/>
    </row>
    <row r="30" spans="2:3" ht="16.5" customHeight="1" x14ac:dyDescent="0.25">
      <c r="B30" s="16"/>
      <c r="C30" s="16"/>
    </row>
    <row r="31" spans="2:3" ht="16.5" customHeight="1" x14ac:dyDescent="0.25">
      <c r="B31" s="16"/>
      <c r="C31" s="16"/>
    </row>
    <row r="32" spans="2:3" ht="16.5" customHeight="1" x14ac:dyDescent="0.25">
      <c r="B32" s="16"/>
      <c r="C32" s="16"/>
    </row>
    <row r="33" spans="2:3" ht="16.5" customHeight="1" x14ac:dyDescent="0.25">
      <c r="B33" s="16"/>
      <c r="C33" s="16"/>
    </row>
    <row r="34" spans="2:3" ht="16.5" customHeight="1" x14ac:dyDescent="0.25">
      <c r="B34" s="16"/>
      <c r="C34" s="16"/>
    </row>
    <row r="35" spans="2:3" ht="16.5" customHeight="1" x14ac:dyDescent="0.25">
      <c r="B35" s="16"/>
      <c r="C35" s="16"/>
    </row>
    <row r="36" spans="2:3" ht="16.5" customHeight="1" x14ac:dyDescent="0.25">
      <c r="B36" s="16"/>
      <c r="C36" s="16"/>
    </row>
    <row r="37" spans="2:3" ht="16.5" customHeight="1" x14ac:dyDescent="0.25">
      <c r="B37" s="16"/>
      <c r="C37" s="16"/>
    </row>
    <row r="38" spans="2:3" ht="16.5" customHeight="1" x14ac:dyDescent="0.25">
      <c r="B38" s="16"/>
      <c r="C38" s="16"/>
    </row>
    <row r="39" spans="2:3" ht="16.5" customHeight="1" x14ac:dyDescent="0.25">
      <c r="B39" s="16"/>
      <c r="C39" s="16"/>
    </row>
    <row r="40" spans="2:3" ht="16.5" customHeight="1" x14ac:dyDescent="0.25">
      <c r="B40" s="16"/>
      <c r="C40" s="16"/>
    </row>
    <row r="41" spans="2:3" ht="16.5" customHeight="1" x14ac:dyDescent="0.25">
      <c r="B41" s="16"/>
      <c r="C41" s="16"/>
    </row>
    <row r="42" spans="2:3" ht="16.5" customHeight="1" x14ac:dyDescent="0.25">
      <c r="B42" s="16"/>
      <c r="C42" s="16"/>
    </row>
    <row r="43" spans="2:3" ht="16.5" customHeight="1" x14ac:dyDescent="0.25">
      <c r="B43" s="16"/>
      <c r="C43" s="16"/>
    </row>
    <row r="44" spans="2:3" ht="16.5" customHeight="1" x14ac:dyDescent="0.25">
      <c r="B44" s="16"/>
      <c r="C44" s="16"/>
    </row>
    <row r="45" spans="2:3" ht="16.5" customHeight="1" x14ac:dyDescent="0.25">
      <c r="B45" s="16"/>
      <c r="C45" s="16"/>
    </row>
    <row r="46" spans="2:3" ht="16.5" customHeight="1" x14ac:dyDescent="0.25">
      <c r="B46" s="16"/>
      <c r="C46" s="16"/>
    </row>
    <row r="47" spans="2:3" ht="16.5" customHeight="1" x14ac:dyDescent="0.25">
      <c r="B47" s="16"/>
      <c r="C47" s="16"/>
    </row>
    <row r="48" spans="2:3" ht="16.5" customHeight="1" x14ac:dyDescent="0.25">
      <c r="B48" s="16"/>
      <c r="C48" s="16"/>
    </row>
    <row r="49" spans="2:3" ht="16.5" customHeight="1" x14ac:dyDescent="0.25">
      <c r="B49" s="16"/>
      <c r="C49" s="16"/>
    </row>
    <row r="50" spans="2:3" ht="16.5" customHeight="1" x14ac:dyDescent="0.25">
      <c r="B50" s="16"/>
      <c r="C50" s="16"/>
    </row>
    <row r="51" spans="2:3" ht="16.5" customHeight="1" x14ac:dyDescent="0.25">
      <c r="B51" s="16"/>
      <c r="C51" s="16"/>
    </row>
    <row r="52" spans="2:3" ht="16.5" customHeight="1" x14ac:dyDescent="0.25">
      <c r="B52" s="16"/>
      <c r="C52" s="16"/>
    </row>
    <row r="53" spans="2:3" ht="16.5" customHeight="1" x14ac:dyDescent="0.25">
      <c r="B53" s="16"/>
      <c r="C53" s="16"/>
    </row>
    <row r="54" spans="2:3" ht="16.5" customHeight="1" x14ac:dyDescent="0.25">
      <c r="B54" s="16"/>
      <c r="C54" s="16"/>
    </row>
    <row r="55" spans="2:3" ht="16.5" customHeight="1" x14ac:dyDescent="0.25">
      <c r="B55" s="16"/>
      <c r="C55" s="16"/>
    </row>
    <row r="56" spans="2:3" ht="16.5" customHeight="1" x14ac:dyDescent="0.25">
      <c r="B56" s="16"/>
      <c r="C56" s="16"/>
    </row>
    <row r="57" spans="2:3" ht="16.5" customHeight="1" x14ac:dyDescent="0.25">
      <c r="B57" s="16"/>
      <c r="C57" s="16"/>
    </row>
    <row r="58" spans="2:3" ht="16.5" customHeight="1" x14ac:dyDescent="0.25">
      <c r="B58" s="16"/>
      <c r="C58" s="16"/>
    </row>
    <row r="59" spans="2:3" ht="16.5" customHeight="1" x14ac:dyDescent="0.25">
      <c r="B59" s="16"/>
      <c r="C59" s="16"/>
    </row>
    <row r="60" spans="2:3" ht="16.5" hidden="1" customHeight="1" x14ac:dyDescent="0.25">
      <c r="B60" s="16"/>
      <c r="C60" s="16"/>
    </row>
    <row r="61" spans="2:3" ht="16.5" hidden="1" customHeight="1" x14ac:dyDescent="0.25">
      <c r="B61" s="16"/>
      <c r="C61" s="16"/>
    </row>
    <row r="62" spans="2:3" ht="16.5" hidden="1" customHeight="1" x14ac:dyDescent="0.25">
      <c r="B62" s="16"/>
      <c r="C62" s="16"/>
    </row>
    <row r="63" spans="2:3" ht="16.5" hidden="1" customHeight="1" x14ac:dyDescent="0.25">
      <c r="B63" s="16"/>
      <c r="C63" s="16"/>
    </row>
    <row r="64" spans="2:3" ht="16.5" hidden="1" customHeight="1" x14ac:dyDescent="0.25">
      <c r="B64" s="16"/>
      <c r="C64" s="16"/>
    </row>
    <row r="65" spans="2:3" ht="16.5" hidden="1" customHeight="1" x14ac:dyDescent="0.25">
      <c r="B65" s="16"/>
      <c r="C65" s="16"/>
    </row>
    <row r="66" spans="2:3" ht="16.5" hidden="1" customHeight="1" x14ac:dyDescent="0.25">
      <c r="B66" s="16"/>
      <c r="C66" s="16"/>
    </row>
    <row r="67" spans="2:3" ht="16.5" hidden="1" customHeight="1" x14ac:dyDescent="0.25">
      <c r="B67" s="16"/>
      <c r="C67" s="16"/>
    </row>
    <row r="68" spans="2:3" ht="16.5" hidden="1" customHeight="1" x14ac:dyDescent="0.25">
      <c r="B68" s="16"/>
      <c r="C68" s="16"/>
    </row>
    <row r="69" spans="2:3" ht="16.5" hidden="1" customHeight="1" x14ac:dyDescent="0.25">
      <c r="B69" s="16"/>
      <c r="C69" s="16"/>
    </row>
    <row r="70" spans="2:3" ht="16.5" hidden="1" customHeight="1" x14ac:dyDescent="0.25">
      <c r="B70" s="16"/>
      <c r="C70" s="16"/>
    </row>
    <row r="71" spans="2:3" ht="16.5" hidden="1" customHeight="1" x14ac:dyDescent="0.25">
      <c r="B71" s="16"/>
      <c r="C71" s="16"/>
    </row>
    <row r="72" spans="2:3" ht="16.5" hidden="1" customHeight="1" x14ac:dyDescent="0.25">
      <c r="B72" s="16"/>
      <c r="C72" s="16"/>
    </row>
    <row r="73" spans="2:3" ht="16.5" hidden="1" customHeight="1" x14ac:dyDescent="0.25">
      <c r="B73" s="16"/>
      <c r="C73" s="16"/>
    </row>
    <row r="74" spans="2:3" ht="16.5" hidden="1" customHeight="1" x14ac:dyDescent="0.25">
      <c r="B74" s="16"/>
      <c r="C74" s="16"/>
    </row>
    <row r="75" spans="2:3" ht="16.5" hidden="1" customHeight="1" x14ac:dyDescent="0.25">
      <c r="B75" s="16"/>
      <c r="C75" s="16"/>
    </row>
    <row r="76" spans="2:3" ht="16.5" hidden="1" customHeight="1" x14ac:dyDescent="0.25">
      <c r="B76" s="16"/>
      <c r="C76" s="16"/>
    </row>
    <row r="77" spans="2:3" ht="16.5" hidden="1" customHeight="1" x14ac:dyDescent="0.25">
      <c r="B77" s="16"/>
      <c r="C77" s="16"/>
    </row>
    <row r="78" spans="2:3" ht="16.5" hidden="1" customHeight="1" x14ac:dyDescent="0.25">
      <c r="B78" s="16"/>
      <c r="C78" s="16"/>
    </row>
    <row r="79" spans="2:3" ht="16.5" hidden="1" customHeight="1" x14ac:dyDescent="0.25">
      <c r="B79" s="16"/>
      <c r="C79" s="16"/>
    </row>
    <row r="80" spans="2:3" ht="16.5" hidden="1" customHeight="1" x14ac:dyDescent="0.25">
      <c r="B80" s="16"/>
      <c r="C80" s="16"/>
    </row>
    <row r="81" spans="2:3" ht="16.5" hidden="1" customHeight="1" x14ac:dyDescent="0.25">
      <c r="B81" s="16"/>
      <c r="C81" s="16"/>
    </row>
    <row r="82" spans="2:3" ht="16.5" hidden="1" customHeight="1" x14ac:dyDescent="0.25">
      <c r="B82" s="16"/>
      <c r="C82" s="16"/>
    </row>
    <row r="83" spans="2:3" ht="16.5" hidden="1" customHeight="1" x14ac:dyDescent="0.25">
      <c r="B83" s="16"/>
      <c r="C83" s="16"/>
    </row>
    <row r="84" spans="2:3" ht="16.5" hidden="1" customHeight="1" x14ac:dyDescent="0.25">
      <c r="B84" s="16"/>
      <c r="C84" s="16"/>
    </row>
    <row r="85" spans="2:3" ht="16.5" hidden="1" customHeight="1" x14ac:dyDescent="0.25">
      <c r="B85" s="16"/>
      <c r="C85" s="16"/>
    </row>
    <row r="86" spans="2:3" ht="16.5" hidden="1" customHeight="1" x14ac:dyDescent="0.25">
      <c r="B86" s="16"/>
      <c r="C86" s="16"/>
    </row>
    <row r="87" spans="2:3" ht="16.5" hidden="1" customHeight="1" x14ac:dyDescent="0.25">
      <c r="B87" s="16"/>
      <c r="C87" s="16"/>
    </row>
    <row r="88" spans="2:3" ht="16.5" hidden="1" customHeight="1" x14ac:dyDescent="0.25">
      <c r="B88" s="16"/>
      <c r="C88" s="16"/>
    </row>
    <row r="89" spans="2:3" ht="16.5" hidden="1" customHeight="1" x14ac:dyDescent="0.25">
      <c r="B89" s="16"/>
      <c r="C89" s="16"/>
    </row>
    <row r="90" spans="2:3" ht="16.5" hidden="1" customHeight="1" x14ac:dyDescent="0.25">
      <c r="B90" s="16"/>
      <c r="C90" s="16"/>
    </row>
    <row r="91" spans="2:3" ht="16.5" hidden="1" customHeight="1" x14ac:dyDescent="0.25">
      <c r="B91" s="16"/>
      <c r="C91" s="16"/>
    </row>
    <row r="92" spans="2:3" ht="16.5" hidden="1" customHeight="1" x14ac:dyDescent="0.25">
      <c r="B92" s="16"/>
      <c r="C92" s="16"/>
    </row>
    <row r="93" spans="2:3" ht="16.5" hidden="1" customHeight="1" x14ac:dyDescent="0.25">
      <c r="B93" s="16"/>
      <c r="C93" s="16"/>
    </row>
    <row r="94" spans="2:3" ht="16.5" hidden="1" customHeight="1" x14ac:dyDescent="0.25">
      <c r="B94" s="16"/>
      <c r="C94" s="16"/>
    </row>
    <row r="95" spans="2:3" ht="16.5" hidden="1" customHeight="1" x14ac:dyDescent="0.25">
      <c r="B95" s="16"/>
      <c r="C95" s="16"/>
    </row>
    <row r="96" spans="2:3" ht="16.5" hidden="1" customHeight="1" x14ac:dyDescent="0.25">
      <c r="B96" s="16"/>
      <c r="C96" s="16"/>
    </row>
    <row r="97" spans="2:3" ht="16.5" hidden="1" customHeight="1" x14ac:dyDescent="0.25">
      <c r="B97" s="16"/>
      <c r="C97" s="16"/>
    </row>
    <row r="98" spans="2:3" ht="16.5" hidden="1" customHeight="1" x14ac:dyDescent="0.25">
      <c r="B98" s="16"/>
      <c r="C98" s="16"/>
    </row>
    <row r="99" spans="2:3" ht="16.5" hidden="1" customHeight="1" x14ac:dyDescent="0.25">
      <c r="B99" s="16"/>
      <c r="C99" s="16"/>
    </row>
    <row r="100" spans="2:3" ht="16.5" hidden="1" customHeight="1" x14ac:dyDescent="0.25">
      <c r="B100" s="16"/>
      <c r="C100" s="16"/>
    </row>
    <row r="101" spans="2:3" ht="16.5" hidden="1" customHeight="1" x14ac:dyDescent="0.25">
      <c r="B101" s="16"/>
      <c r="C101" s="16"/>
    </row>
    <row r="102" spans="2:3" ht="16.5" hidden="1" customHeight="1" x14ac:dyDescent="0.25">
      <c r="B102" s="16"/>
      <c r="C102" s="16"/>
    </row>
    <row r="103" spans="2:3" ht="16.5" hidden="1" customHeight="1" x14ac:dyDescent="0.25">
      <c r="B103" s="16"/>
      <c r="C103" s="16"/>
    </row>
    <row r="104" spans="2:3" ht="16.5" hidden="1" customHeight="1" x14ac:dyDescent="0.25">
      <c r="B104" s="16"/>
      <c r="C104" s="16"/>
    </row>
    <row r="105" spans="2:3" ht="16.5" hidden="1" customHeight="1" x14ac:dyDescent="0.25">
      <c r="B105" s="16"/>
      <c r="C105" s="16"/>
    </row>
    <row r="106" spans="2:3" ht="16.5" hidden="1" customHeight="1" x14ac:dyDescent="0.25">
      <c r="B106" s="16"/>
      <c r="C106" s="16"/>
    </row>
    <row r="107" spans="2:3" ht="16.5" hidden="1" customHeight="1" x14ac:dyDescent="0.25">
      <c r="B107" s="16"/>
      <c r="C107" s="16"/>
    </row>
    <row r="108" spans="2:3" ht="16.5" hidden="1" customHeight="1" x14ac:dyDescent="0.25">
      <c r="B108" s="16"/>
      <c r="C108" s="16"/>
    </row>
    <row r="109" spans="2:3" ht="16.5" hidden="1" customHeight="1" x14ac:dyDescent="0.25">
      <c r="B109" s="16"/>
      <c r="C109" s="16"/>
    </row>
    <row r="110" spans="2:3" ht="16.5" hidden="1" customHeight="1" x14ac:dyDescent="0.25">
      <c r="B110" s="16"/>
      <c r="C110" s="16"/>
    </row>
    <row r="111" spans="2:3" ht="16.5" hidden="1" customHeight="1" x14ac:dyDescent="0.25">
      <c r="B111" s="16"/>
      <c r="C111" s="16"/>
    </row>
    <row r="112" spans="2:3" ht="16.5" hidden="1" customHeight="1" x14ac:dyDescent="0.25">
      <c r="B112" s="16"/>
      <c r="C112" s="16"/>
    </row>
    <row r="113" spans="2:3" ht="16.5" hidden="1" customHeight="1" x14ac:dyDescent="0.25">
      <c r="B113" s="16"/>
      <c r="C113" s="16"/>
    </row>
    <row r="114" spans="2:3" ht="16.5" hidden="1" customHeight="1" x14ac:dyDescent="0.25">
      <c r="B114" s="16"/>
      <c r="C114" s="16"/>
    </row>
    <row r="115" spans="2:3" ht="16.5" hidden="1" customHeight="1" x14ac:dyDescent="0.25">
      <c r="B115" s="16"/>
      <c r="C115" s="16"/>
    </row>
    <row r="116" spans="2:3" ht="16.5" hidden="1" customHeight="1" x14ac:dyDescent="0.25">
      <c r="B116" s="16"/>
      <c r="C116" s="16"/>
    </row>
    <row r="117" spans="2:3" ht="16.5" hidden="1" customHeight="1" x14ac:dyDescent="0.25">
      <c r="B117" s="16"/>
      <c r="C117" s="16"/>
    </row>
    <row r="118" spans="2:3" ht="16.5" hidden="1" customHeight="1" x14ac:dyDescent="0.25">
      <c r="B118" s="16"/>
      <c r="C118" s="16"/>
    </row>
    <row r="119" spans="2:3" ht="16.5" hidden="1" customHeight="1" x14ac:dyDescent="0.25">
      <c r="B119" s="16"/>
      <c r="C119" s="16"/>
    </row>
    <row r="120" spans="2:3" ht="16.5" hidden="1" customHeight="1" x14ac:dyDescent="0.25">
      <c r="B120" s="16"/>
      <c r="C120" s="16"/>
    </row>
    <row r="121" spans="2:3" ht="16.5" hidden="1" customHeight="1" x14ac:dyDescent="0.25">
      <c r="B121" s="16"/>
      <c r="C121" s="16"/>
    </row>
    <row r="122" spans="2:3" ht="16.5" hidden="1" customHeight="1" x14ac:dyDescent="0.25">
      <c r="B122" s="16"/>
      <c r="C122" s="16"/>
    </row>
    <row r="123" spans="2:3" ht="16.5" hidden="1" customHeight="1" x14ac:dyDescent="0.25">
      <c r="B123" s="16"/>
      <c r="C123" s="16"/>
    </row>
    <row r="124" spans="2:3" ht="16.5" hidden="1" customHeight="1" x14ac:dyDescent="0.25">
      <c r="B124" s="16"/>
      <c r="C124" s="16"/>
    </row>
    <row r="125" spans="2:3" ht="16.5" hidden="1" customHeight="1" x14ac:dyDescent="0.25">
      <c r="B125" s="16"/>
      <c r="C125" s="16"/>
    </row>
    <row r="126" spans="2:3" ht="16.5" hidden="1" customHeight="1" x14ac:dyDescent="0.25">
      <c r="B126" s="16"/>
      <c r="C126" s="16"/>
    </row>
    <row r="127" spans="2:3" ht="16.5" hidden="1" customHeight="1" x14ac:dyDescent="0.25">
      <c r="B127" s="16"/>
      <c r="C127" s="16"/>
    </row>
    <row r="128" spans="2:3" ht="16.5" hidden="1" customHeight="1" x14ac:dyDescent="0.25">
      <c r="B128" s="16"/>
      <c r="C128" s="16"/>
    </row>
    <row r="129" spans="2:3" ht="16.5" hidden="1" customHeight="1" x14ac:dyDescent="0.25">
      <c r="B129" s="16"/>
      <c r="C129" s="16"/>
    </row>
    <row r="130" spans="2:3" ht="16.5" hidden="1" customHeight="1" x14ac:dyDescent="0.25">
      <c r="B130" s="16"/>
      <c r="C130" s="16"/>
    </row>
    <row r="131" spans="2:3" ht="16.5" hidden="1" customHeight="1" x14ac:dyDescent="0.25">
      <c r="B131" s="16"/>
      <c r="C131" s="16"/>
    </row>
    <row r="132" spans="2:3" ht="16.5" hidden="1" customHeight="1" x14ac:dyDescent="0.25">
      <c r="B132" s="16"/>
      <c r="C132" s="16"/>
    </row>
    <row r="133" spans="2:3" ht="16.5" hidden="1" customHeight="1" x14ac:dyDescent="0.25">
      <c r="B133" s="16"/>
      <c r="C133" s="16"/>
    </row>
    <row r="134" spans="2:3" ht="16.5" hidden="1" customHeight="1" x14ac:dyDescent="0.25">
      <c r="B134" s="16"/>
      <c r="C134" s="16"/>
    </row>
    <row r="135" spans="2:3" ht="16.5" hidden="1" customHeight="1" x14ac:dyDescent="0.25">
      <c r="B135" s="16"/>
      <c r="C135" s="16"/>
    </row>
    <row r="136" spans="2:3" ht="16.5" hidden="1" customHeight="1" x14ac:dyDescent="0.25">
      <c r="B136" s="16"/>
      <c r="C136" s="16"/>
    </row>
    <row r="137" spans="2:3" ht="16.5" hidden="1" customHeight="1" x14ac:dyDescent="0.25">
      <c r="B137" s="16"/>
      <c r="C137" s="16"/>
    </row>
    <row r="138" spans="2:3" ht="16.5" hidden="1" customHeight="1" x14ac:dyDescent="0.25">
      <c r="B138" s="16"/>
      <c r="C138" s="16"/>
    </row>
    <row r="139" spans="2:3" ht="16.5" hidden="1" customHeight="1" x14ac:dyDescent="0.25">
      <c r="B139" s="16"/>
      <c r="C139" s="16"/>
    </row>
    <row r="140" spans="2:3" ht="16.5" hidden="1" customHeight="1" x14ac:dyDescent="0.25">
      <c r="B140" s="16"/>
      <c r="C140" s="16"/>
    </row>
    <row r="141" spans="2:3" ht="16.5" hidden="1" customHeight="1" x14ac:dyDescent="0.25">
      <c r="B141" s="16"/>
      <c r="C141" s="16"/>
    </row>
    <row r="142" spans="2:3" ht="16.5" hidden="1" customHeight="1" x14ac:dyDescent="0.25">
      <c r="B142" s="16"/>
      <c r="C142" s="16"/>
    </row>
    <row r="143" spans="2:3" ht="16.5" hidden="1" customHeight="1" x14ac:dyDescent="0.25">
      <c r="B143" s="16"/>
      <c r="C143" s="16"/>
    </row>
    <row r="144" spans="2:3" ht="16.5" hidden="1" customHeight="1" x14ac:dyDescent="0.25">
      <c r="B144" s="16"/>
      <c r="C144" s="16"/>
    </row>
    <row r="145" spans="2:3" ht="16.5" hidden="1" customHeight="1" x14ac:dyDescent="0.25">
      <c r="B145" s="16"/>
      <c r="C145" s="16"/>
    </row>
    <row r="146" spans="2:3" ht="16.5" hidden="1" customHeight="1" x14ac:dyDescent="0.25">
      <c r="B146" s="16"/>
      <c r="C146" s="16"/>
    </row>
    <row r="147" spans="2:3" ht="16.5" hidden="1" customHeight="1" x14ac:dyDescent="0.25">
      <c r="B147" s="16"/>
      <c r="C147" s="16"/>
    </row>
    <row r="148" spans="2:3" ht="16.5" hidden="1" customHeight="1" x14ac:dyDescent="0.25">
      <c r="B148" s="16"/>
      <c r="C148" s="16"/>
    </row>
    <row r="149" spans="2:3" ht="16.5" hidden="1" customHeight="1" x14ac:dyDescent="0.25">
      <c r="B149" s="16"/>
      <c r="C149" s="16"/>
    </row>
    <row r="150" spans="2:3" ht="16.5" hidden="1" customHeight="1" x14ac:dyDescent="0.25">
      <c r="B150" s="16"/>
      <c r="C150" s="16"/>
    </row>
    <row r="151" spans="2:3" ht="16.5" hidden="1" customHeight="1" x14ac:dyDescent="0.25">
      <c r="B151" s="16"/>
      <c r="C151" s="16"/>
    </row>
    <row r="152" spans="2:3" ht="16.5" hidden="1" customHeight="1" x14ac:dyDescent="0.25">
      <c r="B152" s="16"/>
      <c r="C152" s="16"/>
    </row>
    <row r="153" spans="2:3" ht="16.5" hidden="1" customHeight="1" x14ac:dyDescent="0.25">
      <c r="B153" s="16"/>
      <c r="C153" s="16"/>
    </row>
    <row r="154" spans="2:3" ht="16.5" hidden="1" customHeight="1" x14ac:dyDescent="0.25">
      <c r="B154" s="16"/>
      <c r="C154" s="16"/>
    </row>
    <row r="155" spans="2:3" ht="16.5" hidden="1" customHeight="1" x14ac:dyDescent="0.25">
      <c r="B155" s="16"/>
      <c r="C155" s="16"/>
    </row>
    <row r="156" spans="2:3" ht="16.5" hidden="1" customHeight="1" x14ac:dyDescent="0.25">
      <c r="B156" s="16"/>
      <c r="C156" s="16"/>
    </row>
    <row r="157" spans="2:3" ht="16.5" hidden="1" customHeight="1" x14ac:dyDescent="0.25">
      <c r="B157" s="16"/>
      <c r="C157" s="16"/>
    </row>
    <row r="158" spans="2:3" ht="16.5" hidden="1" customHeight="1" x14ac:dyDescent="0.25">
      <c r="B158" s="16"/>
      <c r="C158" s="16"/>
    </row>
    <row r="159" spans="2:3" ht="16.5" hidden="1" customHeight="1" x14ac:dyDescent="0.25">
      <c r="B159" s="16"/>
      <c r="C159" s="16"/>
    </row>
    <row r="160" spans="2:3" ht="16.5" hidden="1" customHeight="1" x14ac:dyDescent="0.25">
      <c r="B160" s="16"/>
      <c r="C160" s="16"/>
    </row>
    <row r="161" spans="2:3" ht="16.5" hidden="1" customHeight="1" x14ac:dyDescent="0.25">
      <c r="B161" s="16"/>
      <c r="C161" s="16"/>
    </row>
    <row r="162" spans="2:3" ht="16.5" hidden="1" customHeight="1" x14ac:dyDescent="0.25">
      <c r="B162" s="16"/>
      <c r="C162" s="16"/>
    </row>
    <row r="163" spans="2:3" ht="16.5" hidden="1" customHeight="1" x14ac:dyDescent="0.25">
      <c r="B163" s="16"/>
      <c r="C163" s="16"/>
    </row>
    <row r="164" spans="2:3" ht="16.5" hidden="1" customHeight="1" x14ac:dyDescent="0.25">
      <c r="B164" s="16"/>
      <c r="C164" s="16"/>
    </row>
    <row r="165" spans="2:3" ht="16.5" hidden="1" customHeight="1" x14ac:dyDescent="0.25">
      <c r="B165" s="16"/>
      <c r="C165" s="16"/>
    </row>
    <row r="166" spans="2:3" ht="16.5" hidden="1" customHeight="1" x14ac:dyDescent="0.25">
      <c r="B166" s="16"/>
      <c r="C166" s="16"/>
    </row>
    <row r="167" spans="2:3" ht="16.5" hidden="1" customHeight="1" x14ac:dyDescent="0.25">
      <c r="B167" s="16"/>
      <c r="C167" s="16"/>
    </row>
    <row r="168" spans="2:3" ht="16.5" hidden="1" customHeight="1" x14ac:dyDescent="0.25">
      <c r="B168" s="16"/>
      <c r="C168" s="16"/>
    </row>
    <row r="169" spans="2:3" ht="16.5" hidden="1" customHeight="1" x14ac:dyDescent="0.25">
      <c r="B169" s="16"/>
      <c r="C169" s="16"/>
    </row>
    <row r="170" spans="2:3" ht="16.5" hidden="1" customHeight="1" x14ac:dyDescent="0.25">
      <c r="B170" s="16"/>
      <c r="C170" s="16"/>
    </row>
    <row r="171" spans="2:3" ht="16.5" hidden="1" customHeight="1" x14ac:dyDescent="0.25">
      <c r="B171" s="16"/>
      <c r="C171" s="16"/>
    </row>
    <row r="172" spans="2:3" ht="16.5" hidden="1" customHeight="1" x14ac:dyDescent="0.25">
      <c r="B172" s="16"/>
      <c r="C172" s="16"/>
    </row>
    <row r="173" spans="2:3" ht="16.5" hidden="1" customHeight="1" x14ac:dyDescent="0.25">
      <c r="B173" s="16"/>
      <c r="C173" s="16"/>
    </row>
    <row r="174" spans="2:3" ht="16.5" hidden="1" customHeight="1" x14ac:dyDescent="0.25">
      <c r="B174" s="16"/>
      <c r="C174" s="16"/>
    </row>
    <row r="175" spans="2:3" ht="16.5" hidden="1" customHeight="1" x14ac:dyDescent="0.25">
      <c r="B175" s="16"/>
      <c r="C175" s="16"/>
    </row>
    <row r="176" spans="2:3" ht="16.5" hidden="1" customHeight="1" x14ac:dyDescent="0.25">
      <c r="B176" s="16"/>
      <c r="C176" s="16"/>
    </row>
    <row r="177" spans="2:3" ht="16.5" hidden="1" customHeight="1" x14ac:dyDescent="0.25">
      <c r="B177" s="16"/>
      <c r="C177" s="16"/>
    </row>
    <row r="178" spans="2:3" ht="16.5" hidden="1" customHeight="1" x14ac:dyDescent="0.25">
      <c r="B178" s="16"/>
      <c r="C178" s="16"/>
    </row>
    <row r="179" spans="2:3" ht="16.5" hidden="1" customHeight="1" x14ac:dyDescent="0.25">
      <c r="B179" s="16"/>
      <c r="C179" s="16"/>
    </row>
    <row r="180" spans="2:3" ht="16.5" hidden="1" customHeight="1" x14ac:dyDescent="0.25">
      <c r="B180" s="16"/>
      <c r="C180" s="16"/>
    </row>
    <row r="181" spans="2:3" ht="16.5" hidden="1" customHeight="1" x14ac:dyDescent="0.25">
      <c r="B181" s="16"/>
      <c r="C181" s="16"/>
    </row>
    <row r="182" spans="2:3" ht="16.5" hidden="1" customHeight="1" x14ac:dyDescent="0.25">
      <c r="B182" s="16"/>
      <c r="C182" s="16"/>
    </row>
    <row r="183" spans="2:3" ht="16.5" hidden="1" customHeight="1" x14ac:dyDescent="0.25">
      <c r="B183" s="16"/>
      <c r="C183" s="16"/>
    </row>
    <row r="184" spans="2:3" ht="16.5" hidden="1" customHeight="1" x14ac:dyDescent="0.25">
      <c r="B184" s="16"/>
      <c r="C184" s="16"/>
    </row>
    <row r="185" spans="2:3" ht="16.5" hidden="1" customHeight="1" x14ac:dyDescent="0.25">
      <c r="B185" s="16"/>
      <c r="C185" s="16"/>
    </row>
    <row r="186" spans="2:3" ht="16.5" hidden="1" customHeight="1" x14ac:dyDescent="0.25">
      <c r="B186" s="16"/>
      <c r="C186" s="16"/>
    </row>
    <row r="187" spans="2:3" ht="16.5" hidden="1" customHeight="1" x14ac:dyDescent="0.25">
      <c r="B187" s="16"/>
      <c r="C187" s="16"/>
    </row>
    <row r="188" spans="2:3" ht="16.5" hidden="1" customHeight="1" x14ac:dyDescent="0.25">
      <c r="B188" s="16"/>
      <c r="C188" s="16"/>
    </row>
    <row r="189" spans="2:3" ht="16.5" hidden="1" customHeight="1" x14ac:dyDescent="0.25">
      <c r="B189" s="16"/>
      <c r="C189" s="16"/>
    </row>
    <row r="190" spans="2:3" ht="16.5" hidden="1" customHeight="1" x14ac:dyDescent="0.25">
      <c r="B190" s="16"/>
      <c r="C190" s="16"/>
    </row>
    <row r="191" spans="2:3" ht="16.5" hidden="1" customHeight="1" x14ac:dyDescent="0.25">
      <c r="B191" s="16"/>
      <c r="C191" s="16"/>
    </row>
    <row r="192" spans="2:3" ht="16.5" hidden="1" customHeight="1" x14ac:dyDescent="0.25">
      <c r="B192" s="16"/>
      <c r="C192" s="16"/>
    </row>
    <row r="193" spans="2:3" ht="16.5" hidden="1" customHeight="1" x14ac:dyDescent="0.25">
      <c r="B193" s="16"/>
      <c r="C193" s="16"/>
    </row>
    <row r="194" spans="2:3" ht="16.5" hidden="1" customHeight="1" x14ac:dyDescent="0.25">
      <c r="B194" s="16"/>
      <c r="C194" s="16"/>
    </row>
    <row r="195" spans="2:3" ht="16.5" hidden="1" customHeight="1" x14ac:dyDescent="0.25">
      <c r="B195" s="16"/>
      <c r="C195" s="16"/>
    </row>
    <row r="196" spans="2:3" ht="16.5" hidden="1" customHeight="1" x14ac:dyDescent="0.25">
      <c r="B196" s="16"/>
      <c r="C196" s="16"/>
    </row>
    <row r="197" spans="2:3" ht="16.5" hidden="1" customHeight="1" x14ac:dyDescent="0.25">
      <c r="B197" s="16"/>
      <c r="C197" s="16"/>
    </row>
    <row r="198" spans="2:3" ht="16.5" hidden="1" customHeight="1" x14ac:dyDescent="0.25">
      <c r="B198" s="16"/>
      <c r="C198" s="16"/>
    </row>
    <row r="199" spans="2:3" ht="16.5" hidden="1" customHeight="1" x14ac:dyDescent="0.25">
      <c r="B199" s="16"/>
      <c r="C199" s="16"/>
    </row>
    <row r="200" spans="2:3" ht="16.5" hidden="1" customHeight="1" x14ac:dyDescent="0.25">
      <c r="B200" s="16"/>
      <c r="C200" s="16"/>
    </row>
    <row r="201" spans="2:3" ht="16.5" hidden="1" customHeight="1" x14ac:dyDescent="0.25">
      <c r="B201" s="16"/>
      <c r="C201" s="16"/>
    </row>
    <row r="202" spans="2:3" ht="16.5" hidden="1" customHeight="1" x14ac:dyDescent="0.25">
      <c r="B202" s="16"/>
      <c r="C202" s="16"/>
    </row>
    <row r="203" spans="2:3" ht="16.5" hidden="1" customHeight="1" x14ac:dyDescent="0.25">
      <c r="B203" s="16"/>
      <c r="C203" s="16"/>
    </row>
    <row r="204" spans="2:3" ht="16.5" hidden="1" customHeight="1" x14ac:dyDescent="0.25">
      <c r="B204" s="16"/>
      <c r="C204" s="16"/>
    </row>
    <row r="205" spans="2:3" ht="16.5" hidden="1" customHeight="1" x14ac:dyDescent="0.25">
      <c r="B205" s="16"/>
      <c r="C205" s="16"/>
    </row>
    <row r="206" spans="2:3" ht="16.5" hidden="1" customHeight="1" x14ac:dyDescent="0.25">
      <c r="B206" s="16"/>
      <c r="C206" s="16"/>
    </row>
    <row r="207" spans="2:3" ht="16.5" hidden="1" customHeight="1" x14ac:dyDescent="0.25">
      <c r="B207" s="16"/>
      <c r="C207" s="16"/>
    </row>
    <row r="208" spans="2:3" ht="16.5" hidden="1" customHeight="1" x14ac:dyDescent="0.25">
      <c r="B208" s="16"/>
      <c r="C208" s="16"/>
    </row>
    <row r="209" spans="2:3" ht="16.5" hidden="1" customHeight="1" x14ac:dyDescent="0.25">
      <c r="B209" s="16"/>
      <c r="C209" s="16"/>
    </row>
    <row r="210" spans="2:3" ht="16.5" hidden="1" customHeight="1" x14ac:dyDescent="0.25">
      <c r="B210" s="16"/>
      <c r="C210" s="16"/>
    </row>
    <row r="211" spans="2:3" ht="16.5" hidden="1" customHeight="1" x14ac:dyDescent="0.25">
      <c r="B211" s="16"/>
      <c r="C211" s="16"/>
    </row>
    <row r="212" spans="2:3" ht="16.5" hidden="1" customHeight="1" x14ac:dyDescent="0.25">
      <c r="B212" s="16"/>
      <c r="C212" s="16"/>
    </row>
    <row r="213" spans="2:3" ht="16.5" hidden="1" customHeight="1" x14ac:dyDescent="0.25">
      <c r="B213" s="16"/>
      <c r="C213" s="16"/>
    </row>
    <row r="214" spans="2:3" ht="16.5" hidden="1" customHeight="1" x14ac:dyDescent="0.25">
      <c r="B214" s="16"/>
      <c r="C214" s="16"/>
    </row>
    <row r="215" spans="2:3" ht="16.5" hidden="1" customHeight="1" x14ac:dyDescent="0.25">
      <c r="B215" s="16"/>
      <c r="C215" s="16"/>
    </row>
    <row r="216" spans="2:3" ht="16.5" hidden="1" customHeight="1" x14ac:dyDescent="0.25">
      <c r="B216" s="16"/>
      <c r="C216" s="16"/>
    </row>
    <row r="217" spans="2:3" ht="16.5" hidden="1" customHeight="1" x14ac:dyDescent="0.25">
      <c r="B217" s="16"/>
      <c r="C217" s="16"/>
    </row>
    <row r="218" spans="2:3" ht="16.5" hidden="1" customHeight="1" x14ac:dyDescent="0.25">
      <c r="B218" s="16"/>
      <c r="C218" s="16"/>
    </row>
    <row r="219" spans="2:3" ht="16.5" hidden="1" customHeight="1" x14ac:dyDescent="0.25">
      <c r="B219" s="16"/>
      <c r="C219" s="16"/>
    </row>
    <row r="220" spans="2:3" ht="16.5" hidden="1" customHeight="1" x14ac:dyDescent="0.25">
      <c r="B220" s="16"/>
      <c r="C220" s="16"/>
    </row>
    <row r="221" spans="2:3" ht="16.5" hidden="1" customHeight="1" x14ac:dyDescent="0.25">
      <c r="B221" s="16"/>
      <c r="C221" s="16"/>
    </row>
    <row r="222" spans="2:3" ht="16.5" hidden="1" customHeight="1" x14ac:dyDescent="0.25">
      <c r="B222" s="16"/>
      <c r="C222" s="16"/>
    </row>
    <row r="223" spans="2:3" ht="16.5" hidden="1" customHeight="1" x14ac:dyDescent="0.25">
      <c r="B223" s="16"/>
      <c r="C223" s="16"/>
    </row>
    <row r="224" spans="2:3" ht="16.5" hidden="1" customHeight="1" x14ac:dyDescent="0.25">
      <c r="B224" s="16"/>
      <c r="C224" s="16"/>
    </row>
    <row r="225" spans="2:3" ht="16.5" hidden="1" customHeight="1" x14ac:dyDescent="0.25">
      <c r="B225" s="16"/>
      <c r="C225" s="16"/>
    </row>
    <row r="226" spans="2:3" ht="16.5" hidden="1" customHeight="1" x14ac:dyDescent="0.25">
      <c r="B226" s="16"/>
      <c r="C226" s="16"/>
    </row>
    <row r="227" spans="2:3" ht="16.5" hidden="1" customHeight="1" x14ac:dyDescent="0.25">
      <c r="B227" s="16"/>
      <c r="C227" s="16"/>
    </row>
    <row r="228" spans="2:3" ht="16.5" hidden="1" customHeight="1" x14ac:dyDescent="0.25">
      <c r="B228" s="16"/>
      <c r="C228" s="16"/>
    </row>
    <row r="229" spans="2:3" ht="16.5" hidden="1" customHeight="1" x14ac:dyDescent="0.25">
      <c r="B229" s="16"/>
      <c r="C229" s="16"/>
    </row>
    <row r="230" spans="2:3" ht="16.5" hidden="1" customHeight="1" x14ac:dyDescent="0.25">
      <c r="B230" s="16"/>
      <c r="C230" s="16"/>
    </row>
    <row r="231" spans="2:3" ht="16.5" hidden="1" customHeight="1" x14ac:dyDescent="0.25">
      <c r="B231" s="16"/>
      <c r="C231" s="16"/>
    </row>
    <row r="232" spans="2:3" ht="16.5" hidden="1" customHeight="1" x14ac:dyDescent="0.25">
      <c r="B232" s="16"/>
      <c r="C232" s="16"/>
    </row>
    <row r="233" spans="2:3" ht="16.5" hidden="1" customHeight="1" x14ac:dyDescent="0.25">
      <c r="B233" s="16"/>
      <c r="C233" s="16"/>
    </row>
    <row r="234" spans="2:3" ht="16.5" hidden="1" customHeight="1" x14ac:dyDescent="0.25">
      <c r="B234" s="16"/>
      <c r="C234" s="16"/>
    </row>
    <row r="235" spans="2:3" ht="16.5" hidden="1" customHeight="1" x14ac:dyDescent="0.25">
      <c r="B235" s="16"/>
      <c r="C235" s="16"/>
    </row>
    <row r="236" spans="2:3" ht="16.5" hidden="1" customHeight="1" x14ac:dyDescent="0.25">
      <c r="B236" s="16"/>
      <c r="C236" s="16"/>
    </row>
    <row r="237" spans="2:3" ht="16.5" hidden="1" customHeight="1" x14ac:dyDescent="0.25">
      <c r="B237" s="16"/>
      <c r="C237" s="16"/>
    </row>
    <row r="238" spans="2:3" ht="16.5" hidden="1" customHeight="1" x14ac:dyDescent="0.25">
      <c r="B238" s="16"/>
      <c r="C238" s="16"/>
    </row>
    <row r="239" spans="2:3" ht="16.5" hidden="1" customHeight="1" x14ac:dyDescent="0.25">
      <c r="B239" s="16"/>
      <c r="C239" s="16"/>
    </row>
    <row r="240" spans="2:3" ht="16.5" hidden="1" customHeight="1" x14ac:dyDescent="0.25">
      <c r="B240" s="16"/>
      <c r="C240" s="16"/>
    </row>
    <row r="241" spans="2:3" ht="16.5" hidden="1" customHeight="1" x14ac:dyDescent="0.25">
      <c r="B241" s="16"/>
      <c r="C241" s="16"/>
    </row>
    <row r="242" spans="2:3" ht="16.5" hidden="1" customHeight="1" x14ac:dyDescent="0.25">
      <c r="B242" s="16"/>
      <c r="C242" s="16"/>
    </row>
    <row r="243" spans="2:3" ht="16.5" hidden="1" customHeight="1" x14ac:dyDescent="0.25">
      <c r="B243" s="16"/>
      <c r="C243" s="16"/>
    </row>
    <row r="244" spans="2:3" ht="16.5" hidden="1" customHeight="1" x14ac:dyDescent="0.25">
      <c r="B244" s="16"/>
      <c r="C244" s="16"/>
    </row>
    <row r="245" spans="2:3" ht="16.5" hidden="1" customHeight="1" x14ac:dyDescent="0.25">
      <c r="B245" s="16"/>
      <c r="C245" s="16"/>
    </row>
    <row r="246" spans="2:3" ht="16.5" hidden="1" customHeight="1" x14ac:dyDescent="0.25">
      <c r="B246" s="16"/>
      <c r="C246" s="16"/>
    </row>
    <row r="247" spans="2:3" ht="16.5" hidden="1" customHeight="1" x14ac:dyDescent="0.25">
      <c r="B247" s="16"/>
      <c r="C247" s="16"/>
    </row>
    <row r="248" spans="2:3" ht="16.5" hidden="1" customHeight="1" x14ac:dyDescent="0.25">
      <c r="B248" s="16"/>
      <c r="C248" s="16"/>
    </row>
    <row r="249" spans="2:3" ht="16.5" hidden="1" customHeight="1" x14ac:dyDescent="0.25">
      <c r="B249" s="16"/>
      <c r="C249" s="16"/>
    </row>
    <row r="250" spans="2:3" ht="16.5" hidden="1" customHeight="1" x14ac:dyDescent="0.25">
      <c r="B250" s="16"/>
      <c r="C250" s="16"/>
    </row>
    <row r="251" spans="2:3" ht="16.5" hidden="1" customHeight="1" x14ac:dyDescent="0.25">
      <c r="B251" s="16"/>
      <c r="C251" s="16"/>
    </row>
    <row r="252" spans="2:3" ht="16.5" hidden="1" customHeight="1" x14ac:dyDescent="0.25">
      <c r="B252" s="16"/>
      <c r="C252" s="16"/>
    </row>
    <row r="253" spans="2:3" ht="16.5" hidden="1" customHeight="1" x14ac:dyDescent="0.25">
      <c r="B253" s="16"/>
      <c r="C253" s="16"/>
    </row>
    <row r="254" spans="2:3" ht="16.5" hidden="1" customHeight="1" x14ac:dyDescent="0.25">
      <c r="B254" s="16"/>
      <c r="C254" s="16"/>
    </row>
    <row r="255" spans="2:3" ht="16.5" hidden="1" customHeight="1" x14ac:dyDescent="0.25">
      <c r="B255" s="16"/>
      <c r="C255" s="16"/>
    </row>
    <row r="256" spans="2:3" ht="16.5" hidden="1" customHeight="1" x14ac:dyDescent="0.25">
      <c r="B256" s="16"/>
      <c r="C256" s="16"/>
    </row>
    <row r="257" spans="2:3" ht="16.5" hidden="1" customHeight="1" x14ac:dyDescent="0.25">
      <c r="B257" s="16"/>
      <c r="C257" s="16"/>
    </row>
    <row r="258" spans="2:3" ht="16.5" hidden="1" customHeight="1" x14ac:dyDescent="0.25">
      <c r="B258" s="16"/>
      <c r="C258" s="16"/>
    </row>
    <row r="259" spans="2:3" ht="16.5" hidden="1" customHeight="1" x14ac:dyDescent="0.25">
      <c r="B259" s="16"/>
      <c r="C259" s="16"/>
    </row>
    <row r="260" spans="2:3" ht="16.5" hidden="1" customHeight="1" x14ac:dyDescent="0.25">
      <c r="B260" s="16"/>
      <c r="C260" s="16"/>
    </row>
    <row r="261" spans="2:3" ht="16.5" hidden="1" customHeight="1" x14ac:dyDescent="0.25">
      <c r="B261" s="16"/>
      <c r="C261" s="16"/>
    </row>
    <row r="262" spans="2:3" ht="16.5" hidden="1" customHeight="1" x14ac:dyDescent="0.25">
      <c r="B262" s="16"/>
      <c r="C262" s="16"/>
    </row>
    <row r="263" spans="2:3" ht="16.5" hidden="1" customHeight="1" x14ac:dyDescent="0.25">
      <c r="B263" s="16"/>
      <c r="C263" s="16"/>
    </row>
    <row r="264" spans="2:3" ht="16.5" hidden="1" customHeight="1" x14ac:dyDescent="0.25">
      <c r="B264" s="16"/>
      <c r="C264" s="16"/>
    </row>
    <row r="265" spans="2:3" ht="16.5" hidden="1" customHeight="1" x14ac:dyDescent="0.25">
      <c r="B265" s="16"/>
      <c r="C265" s="16"/>
    </row>
    <row r="266" spans="2:3" ht="16.5" hidden="1" customHeight="1" x14ac:dyDescent="0.25">
      <c r="B266" s="16"/>
      <c r="C266" s="16"/>
    </row>
    <row r="267" spans="2:3" ht="16.5" hidden="1" customHeight="1" x14ac:dyDescent="0.25">
      <c r="B267" s="16"/>
      <c r="C267" s="16"/>
    </row>
    <row r="268" spans="2:3" ht="16.5" hidden="1" customHeight="1" x14ac:dyDescent="0.25">
      <c r="B268" s="16"/>
      <c r="C268" s="16"/>
    </row>
    <row r="269" spans="2:3" ht="16.5" hidden="1" customHeight="1" x14ac:dyDescent="0.25">
      <c r="B269" s="16"/>
      <c r="C269" s="16"/>
    </row>
    <row r="270" spans="2:3" ht="16.5" hidden="1" customHeight="1" x14ac:dyDescent="0.25">
      <c r="B270" s="16"/>
      <c r="C270" s="16"/>
    </row>
    <row r="271" spans="2:3" ht="16.5" hidden="1" customHeight="1" x14ac:dyDescent="0.25">
      <c r="B271" s="16"/>
      <c r="C271" s="16"/>
    </row>
    <row r="272" spans="2:3" ht="16.5" hidden="1" customHeight="1" x14ac:dyDescent="0.25">
      <c r="B272" s="16"/>
      <c r="C272" s="16"/>
    </row>
    <row r="273" spans="2:3" ht="16.5" hidden="1" customHeight="1" x14ac:dyDescent="0.25">
      <c r="B273" s="16"/>
      <c r="C273" s="16"/>
    </row>
    <row r="274" spans="2:3" ht="16.5" hidden="1" customHeight="1" x14ac:dyDescent="0.25">
      <c r="B274" s="16"/>
      <c r="C274" s="16"/>
    </row>
    <row r="275" spans="2:3" ht="16.5" hidden="1" customHeight="1" x14ac:dyDescent="0.25">
      <c r="B275" s="16"/>
      <c r="C275" s="16"/>
    </row>
    <row r="276" spans="2:3" ht="16.5" hidden="1" customHeight="1" x14ac:dyDescent="0.25">
      <c r="B276" s="16"/>
      <c r="C276" s="16"/>
    </row>
    <row r="277" spans="2:3" ht="16.5" hidden="1" customHeight="1" x14ac:dyDescent="0.25">
      <c r="B277" s="16"/>
      <c r="C277" s="16"/>
    </row>
    <row r="278" spans="2:3" ht="16.5" hidden="1" customHeight="1" x14ac:dyDescent="0.25">
      <c r="B278" s="16"/>
      <c r="C278" s="16"/>
    </row>
    <row r="279" spans="2:3" ht="16.5" hidden="1" customHeight="1" x14ac:dyDescent="0.25">
      <c r="B279" s="16"/>
      <c r="C279" s="16"/>
    </row>
    <row r="280" spans="2:3" ht="16.5" hidden="1" customHeight="1" x14ac:dyDescent="0.25">
      <c r="B280" s="16"/>
      <c r="C280" s="16"/>
    </row>
    <row r="281" spans="2:3" ht="16.5" hidden="1" customHeight="1" x14ac:dyDescent="0.25">
      <c r="B281" s="16"/>
      <c r="C281" s="16"/>
    </row>
    <row r="282" spans="2:3" ht="16.5" hidden="1" customHeight="1" x14ac:dyDescent="0.25">
      <c r="B282" s="16"/>
      <c r="C282" s="16"/>
    </row>
    <row r="283" spans="2:3" ht="16.5" hidden="1" customHeight="1" x14ac:dyDescent="0.25">
      <c r="B283" s="16"/>
      <c r="C283" s="16"/>
    </row>
    <row r="284" spans="2:3" ht="16.5" hidden="1" customHeight="1" x14ac:dyDescent="0.25">
      <c r="B284" s="16"/>
      <c r="C284" s="16"/>
    </row>
    <row r="285" spans="2:3" ht="16.5" hidden="1" customHeight="1" x14ac:dyDescent="0.25">
      <c r="B285" s="16"/>
      <c r="C285" s="16"/>
    </row>
    <row r="286" spans="2:3" ht="16.5" hidden="1" customHeight="1" x14ac:dyDescent="0.25">
      <c r="B286" s="16"/>
      <c r="C286" s="16"/>
    </row>
    <row r="287" spans="2:3" ht="16.5" hidden="1" customHeight="1" x14ac:dyDescent="0.25">
      <c r="B287" s="16"/>
      <c r="C287" s="16"/>
    </row>
    <row r="288" spans="2:3" ht="16.5" hidden="1" customHeight="1" x14ac:dyDescent="0.25">
      <c r="B288" s="16"/>
      <c r="C288" s="16"/>
    </row>
    <row r="289" spans="2:3" ht="16.5" hidden="1" customHeight="1" x14ac:dyDescent="0.25">
      <c r="B289" s="16"/>
      <c r="C289" s="16"/>
    </row>
    <row r="290" spans="2:3" ht="16.5" hidden="1" customHeight="1" x14ac:dyDescent="0.25">
      <c r="B290" s="16"/>
      <c r="C290" s="16"/>
    </row>
    <row r="291" spans="2:3" ht="16.5" hidden="1" customHeight="1" x14ac:dyDescent="0.25">
      <c r="B291" s="16"/>
      <c r="C291" s="16"/>
    </row>
    <row r="292" spans="2:3" ht="16.5" hidden="1" customHeight="1" x14ac:dyDescent="0.25">
      <c r="B292" s="16"/>
      <c r="C292" s="16"/>
    </row>
    <row r="293" spans="2:3" ht="16.5" hidden="1" customHeight="1" x14ac:dyDescent="0.25">
      <c r="B293" s="16"/>
      <c r="C293" s="16"/>
    </row>
    <row r="294" spans="2:3" ht="16.5" hidden="1" customHeight="1" x14ac:dyDescent="0.25">
      <c r="B294" s="16"/>
      <c r="C294" s="16"/>
    </row>
    <row r="295" spans="2:3" ht="16.5" hidden="1" customHeight="1" x14ac:dyDescent="0.25">
      <c r="B295" s="16"/>
      <c r="C295" s="16"/>
    </row>
    <row r="296" spans="2:3" ht="16.5" hidden="1" customHeight="1" x14ac:dyDescent="0.25">
      <c r="B296" s="16"/>
      <c r="C296" s="16"/>
    </row>
    <row r="297" spans="2:3" ht="16.5" hidden="1" customHeight="1" x14ac:dyDescent="0.25">
      <c r="B297" s="16"/>
      <c r="C297" s="16"/>
    </row>
    <row r="298" spans="2:3" ht="16.5" hidden="1" customHeight="1" x14ac:dyDescent="0.25">
      <c r="B298" s="16"/>
      <c r="C298" s="16"/>
    </row>
    <row r="299" spans="2:3" ht="16.5" hidden="1" customHeight="1" x14ac:dyDescent="0.25">
      <c r="B299" s="16"/>
      <c r="C299" s="16"/>
    </row>
    <row r="300" spans="2:3" ht="16.5" hidden="1" customHeight="1" x14ac:dyDescent="0.25">
      <c r="B300" s="16"/>
      <c r="C300" s="16"/>
    </row>
    <row r="301" spans="2:3" ht="16.5" hidden="1" customHeight="1" x14ac:dyDescent="0.25">
      <c r="B301" s="16"/>
      <c r="C301" s="16"/>
    </row>
    <row r="302" spans="2:3" ht="16.5" hidden="1" customHeight="1" x14ac:dyDescent="0.25">
      <c r="B302" s="16"/>
      <c r="C302" s="16"/>
    </row>
    <row r="303" spans="2:3" ht="16.5" hidden="1" customHeight="1" x14ac:dyDescent="0.25">
      <c r="B303" s="16"/>
      <c r="C303" s="16"/>
    </row>
    <row r="304" spans="2:3" ht="16.5" hidden="1" customHeight="1" x14ac:dyDescent="0.25">
      <c r="B304" s="16"/>
      <c r="C304" s="16"/>
    </row>
    <row r="305" spans="2:3" ht="16.5" hidden="1" customHeight="1" x14ac:dyDescent="0.25">
      <c r="B305" s="16"/>
      <c r="C305" s="16"/>
    </row>
    <row r="306" spans="2:3" ht="16.5" hidden="1" customHeight="1" x14ac:dyDescent="0.25">
      <c r="B306" s="16"/>
      <c r="C306" s="16"/>
    </row>
    <row r="307" spans="2:3" ht="16.5" hidden="1" customHeight="1" x14ac:dyDescent="0.25">
      <c r="B307" s="16"/>
      <c r="C307" s="16"/>
    </row>
    <row r="308" spans="2:3" ht="16.5" hidden="1" customHeight="1" x14ac:dyDescent="0.25">
      <c r="B308" s="16"/>
      <c r="C308" s="16"/>
    </row>
    <row r="309" spans="2:3" ht="16.5" hidden="1" customHeight="1" x14ac:dyDescent="0.25">
      <c r="B309" s="16"/>
      <c r="C309" s="16"/>
    </row>
    <row r="310" spans="2:3" ht="16.5" hidden="1" customHeight="1" x14ac:dyDescent="0.25">
      <c r="B310" s="16"/>
      <c r="C310" s="16"/>
    </row>
    <row r="311" spans="2:3" ht="16.5" hidden="1" customHeight="1" x14ac:dyDescent="0.25">
      <c r="B311" s="16"/>
      <c r="C311" s="16"/>
    </row>
    <row r="312" spans="2:3" ht="16.5" hidden="1" customHeight="1" x14ac:dyDescent="0.25">
      <c r="B312" s="16"/>
      <c r="C312" s="16"/>
    </row>
    <row r="313" spans="2:3" ht="16.5" hidden="1" customHeight="1" x14ac:dyDescent="0.25">
      <c r="B313" s="16"/>
      <c r="C313" s="16"/>
    </row>
    <row r="314" spans="2:3" ht="16.5" hidden="1" customHeight="1" x14ac:dyDescent="0.25">
      <c r="B314" s="16"/>
      <c r="C314" s="16"/>
    </row>
    <row r="315" spans="2:3" ht="16.5" hidden="1" customHeight="1" x14ac:dyDescent="0.25">
      <c r="B315" s="16"/>
      <c r="C315" s="16"/>
    </row>
    <row r="316" spans="2:3" ht="16.5" hidden="1" customHeight="1" x14ac:dyDescent="0.25">
      <c r="B316" s="16"/>
      <c r="C316" s="16"/>
    </row>
    <row r="317" spans="2:3" ht="16.5" hidden="1" customHeight="1" x14ac:dyDescent="0.25">
      <c r="B317" s="16"/>
      <c r="C317" s="16"/>
    </row>
    <row r="318" spans="2:3" ht="16.5" hidden="1" customHeight="1" x14ac:dyDescent="0.25">
      <c r="B318" s="16"/>
      <c r="C318" s="16"/>
    </row>
    <row r="319" spans="2:3" ht="16.5" hidden="1" customHeight="1" x14ac:dyDescent="0.25">
      <c r="B319" s="16"/>
      <c r="C319" s="16"/>
    </row>
    <row r="320" spans="2:3" ht="16.5" hidden="1" customHeight="1" x14ac:dyDescent="0.25">
      <c r="B320" s="16"/>
      <c r="C320" s="16"/>
    </row>
    <row r="321" spans="2:3" ht="16.5" hidden="1" customHeight="1" x14ac:dyDescent="0.25">
      <c r="B321" s="16"/>
      <c r="C321" s="16"/>
    </row>
    <row r="322" spans="2:3" ht="16.5" hidden="1" customHeight="1" x14ac:dyDescent="0.25">
      <c r="B322" s="16"/>
      <c r="C322" s="16"/>
    </row>
    <row r="323" spans="2:3" ht="16.5" hidden="1" customHeight="1" x14ac:dyDescent="0.25">
      <c r="B323" s="16"/>
      <c r="C323" s="16"/>
    </row>
    <row r="324" spans="2:3" ht="16.5" hidden="1" customHeight="1" x14ac:dyDescent="0.25">
      <c r="B324" s="16"/>
      <c r="C324" s="16"/>
    </row>
    <row r="325" spans="2:3" ht="16.5" hidden="1" customHeight="1" x14ac:dyDescent="0.25">
      <c r="B325" s="16"/>
      <c r="C325" s="16"/>
    </row>
    <row r="326" spans="2:3" ht="16.5" hidden="1" customHeight="1" x14ac:dyDescent="0.25">
      <c r="B326" s="16"/>
      <c r="C326" s="16"/>
    </row>
    <row r="327" spans="2:3" ht="16.5" hidden="1" customHeight="1" x14ac:dyDescent="0.25">
      <c r="B327" s="16"/>
      <c r="C327" s="16"/>
    </row>
    <row r="328" spans="2:3" ht="16.5" hidden="1" customHeight="1" x14ac:dyDescent="0.25">
      <c r="B328" s="16"/>
      <c r="C328" s="16"/>
    </row>
    <row r="329" spans="2:3" ht="16.5" hidden="1" customHeight="1" x14ac:dyDescent="0.25">
      <c r="B329" s="16"/>
      <c r="C329" s="16"/>
    </row>
    <row r="330" spans="2:3" ht="16.5" hidden="1" customHeight="1" x14ac:dyDescent="0.25">
      <c r="B330" s="16"/>
      <c r="C330" s="16"/>
    </row>
    <row r="331" spans="2:3" ht="16.5" hidden="1" customHeight="1" x14ac:dyDescent="0.25">
      <c r="B331" s="16"/>
      <c r="C331" s="16"/>
    </row>
    <row r="332" spans="2:3" ht="16.5" hidden="1" customHeight="1" x14ac:dyDescent="0.25">
      <c r="B332" s="16"/>
      <c r="C332" s="16"/>
    </row>
    <row r="333" spans="2:3" ht="16.5" hidden="1" customHeight="1" x14ac:dyDescent="0.25">
      <c r="B333" s="16"/>
      <c r="C333" s="16"/>
    </row>
    <row r="334" spans="2:3" ht="16.5" hidden="1" customHeight="1" x14ac:dyDescent="0.25">
      <c r="B334" s="16"/>
      <c r="C334" s="16"/>
    </row>
    <row r="335" spans="2:3" ht="16.5" hidden="1" customHeight="1" x14ac:dyDescent="0.25">
      <c r="B335" s="16"/>
      <c r="C335" s="16"/>
    </row>
    <row r="336" spans="2:3" ht="16.5" hidden="1" customHeight="1" x14ac:dyDescent="0.25">
      <c r="B336" s="16"/>
      <c r="C336" s="16"/>
    </row>
    <row r="337" spans="2:3" ht="16.5" hidden="1" customHeight="1" x14ac:dyDescent="0.25">
      <c r="B337" s="16"/>
      <c r="C337" s="16"/>
    </row>
    <row r="338" spans="2:3" ht="16.5" hidden="1" customHeight="1" x14ac:dyDescent="0.25">
      <c r="B338" s="16"/>
      <c r="C338" s="16"/>
    </row>
    <row r="339" spans="2:3" ht="16.5" hidden="1" customHeight="1" x14ac:dyDescent="0.25">
      <c r="B339" s="16"/>
      <c r="C339" s="16"/>
    </row>
    <row r="340" spans="2:3" ht="16.5" hidden="1" customHeight="1" x14ac:dyDescent="0.25">
      <c r="B340" s="16"/>
      <c r="C340" s="16"/>
    </row>
    <row r="341" spans="2:3" ht="16.5" hidden="1" customHeight="1" x14ac:dyDescent="0.25">
      <c r="B341" s="16"/>
      <c r="C341" s="16"/>
    </row>
    <row r="342" spans="2:3" ht="16.5" hidden="1" customHeight="1" x14ac:dyDescent="0.25">
      <c r="B342" s="16"/>
      <c r="C342" s="16"/>
    </row>
    <row r="343" spans="2:3" ht="16.5" hidden="1" customHeight="1" x14ac:dyDescent="0.25">
      <c r="B343" s="16"/>
      <c r="C343" s="16"/>
    </row>
    <row r="344" spans="2:3" ht="16.5" hidden="1" customHeight="1" x14ac:dyDescent="0.25">
      <c r="B344" s="16"/>
      <c r="C344" s="16"/>
    </row>
    <row r="345" spans="2:3" ht="16.5" hidden="1" customHeight="1" x14ac:dyDescent="0.25">
      <c r="B345" s="16"/>
      <c r="C345" s="16"/>
    </row>
    <row r="346" spans="2:3" ht="16.5" hidden="1" customHeight="1" x14ac:dyDescent="0.25">
      <c r="B346" s="16"/>
      <c r="C346" s="16"/>
    </row>
    <row r="347" spans="2:3" ht="16.5" hidden="1" customHeight="1" x14ac:dyDescent="0.25">
      <c r="B347" s="16"/>
      <c r="C347" s="16"/>
    </row>
    <row r="348" spans="2:3" ht="16.5" hidden="1" customHeight="1" x14ac:dyDescent="0.25">
      <c r="B348" s="16"/>
      <c r="C348" s="16"/>
    </row>
    <row r="349" spans="2:3" ht="16.5" hidden="1" customHeight="1" x14ac:dyDescent="0.25">
      <c r="B349" s="16"/>
      <c r="C349" s="16"/>
    </row>
    <row r="350" spans="2:3" ht="16.5" hidden="1" customHeight="1" x14ac:dyDescent="0.25">
      <c r="B350" s="16"/>
      <c r="C350" s="16"/>
    </row>
    <row r="351" spans="2:3" ht="16.5" hidden="1" customHeight="1" x14ac:dyDescent="0.25">
      <c r="B351" s="16"/>
      <c r="C351" s="16"/>
    </row>
    <row r="352" spans="2:3" ht="16.5" hidden="1" customHeight="1" x14ac:dyDescent="0.25">
      <c r="B352" s="16"/>
      <c r="C352" s="16"/>
    </row>
    <row r="353" spans="2:3" ht="16.5" hidden="1" customHeight="1" x14ac:dyDescent="0.25">
      <c r="B353" s="16"/>
      <c r="C353" s="16"/>
    </row>
    <row r="354" spans="2:3" ht="16.5" hidden="1" customHeight="1" x14ac:dyDescent="0.25">
      <c r="B354" s="16"/>
      <c r="C354" s="16"/>
    </row>
    <row r="355" spans="2:3" ht="16.5" hidden="1" customHeight="1" x14ac:dyDescent="0.25">
      <c r="B355" s="16"/>
      <c r="C355" s="16"/>
    </row>
    <row r="356" spans="2:3" ht="16.5" hidden="1" customHeight="1" x14ac:dyDescent="0.25">
      <c r="B356" s="16"/>
      <c r="C356" s="16"/>
    </row>
    <row r="357" spans="2:3" ht="16.5" hidden="1" customHeight="1" x14ac:dyDescent="0.25">
      <c r="B357" s="16"/>
      <c r="C357" s="16"/>
    </row>
    <row r="358" spans="2:3" ht="16.5" hidden="1" customHeight="1" x14ac:dyDescent="0.25">
      <c r="B358" s="16"/>
      <c r="C358" s="16"/>
    </row>
    <row r="359" spans="2:3" ht="16.5" hidden="1" customHeight="1" x14ac:dyDescent="0.25">
      <c r="B359" s="16"/>
      <c r="C359" s="16"/>
    </row>
    <row r="360" spans="2:3" ht="16.5" hidden="1" customHeight="1" x14ac:dyDescent="0.25">
      <c r="B360" s="16"/>
      <c r="C360" s="16"/>
    </row>
    <row r="361" spans="2:3" ht="16.5" hidden="1" customHeight="1" x14ac:dyDescent="0.25">
      <c r="B361" s="16"/>
      <c r="C361" s="16"/>
    </row>
    <row r="362" spans="2:3" ht="16.5" hidden="1" customHeight="1" x14ac:dyDescent="0.25">
      <c r="B362" s="16"/>
      <c r="C362" s="16"/>
    </row>
    <row r="363" spans="2:3" ht="16.5" hidden="1" customHeight="1" x14ac:dyDescent="0.25">
      <c r="B363" s="16"/>
      <c r="C363" s="16"/>
    </row>
    <row r="364" spans="2:3" ht="16.5" hidden="1" customHeight="1" x14ac:dyDescent="0.25">
      <c r="B364" s="16"/>
      <c r="C364" s="16"/>
    </row>
    <row r="365" spans="2:3" ht="16.5" hidden="1" customHeight="1" x14ac:dyDescent="0.25">
      <c r="B365" s="16"/>
      <c r="C365" s="16"/>
    </row>
    <row r="366" spans="2:3" ht="16.5" hidden="1" customHeight="1" x14ac:dyDescent="0.25">
      <c r="B366" s="16"/>
      <c r="C366" s="16"/>
    </row>
    <row r="367" spans="2:3" ht="16.5" hidden="1" customHeight="1" x14ac:dyDescent="0.25">
      <c r="B367" s="16"/>
      <c r="C367" s="16"/>
    </row>
    <row r="368" spans="2:3" ht="16.5" hidden="1" customHeight="1" x14ac:dyDescent="0.25">
      <c r="B368" s="16"/>
      <c r="C368" s="16"/>
    </row>
    <row r="369" spans="2:3" ht="16.5" hidden="1" customHeight="1" x14ac:dyDescent="0.25">
      <c r="B369" s="16"/>
      <c r="C369" s="16"/>
    </row>
    <row r="370" spans="2:3" ht="16.5" hidden="1" customHeight="1" x14ac:dyDescent="0.25">
      <c r="B370" s="16"/>
      <c r="C370" s="16"/>
    </row>
    <row r="371" spans="2:3" ht="16.5" hidden="1" customHeight="1" x14ac:dyDescent="0.25">
      <c r="B371" s="16"/>
      <c r="C371" s="16"/>
    </row>
    <row r="372" spans="2:3" ht="16.5" hidden="1" customHeight="1" x14ac:dyDescent="0.25">
      <c r="B372" s="16"/>
      <c r="C372" s="16"/>
    </row>
    <row r="373" spans="2:3" ht="16.5" hidden="1" customHeight="1" x14ac:dyDescent="0.25">
      <c r="B373" s="16"/>
      <c r="C373" s="16"/>
    </row>
    <row r="374" spans="2:3" ht="16.5" hidden="1" customHeight="1" x14ac:dyDescent="0.25">
      <c r="B374" s="16"/>
      <c r="C374" s="16"/>
    </row>
    <row r="375" spans="2:3" ht="16.5" hidden="1" customHeight="1" x14ac:dyDescent="0.25">
      <c r="B375" s="16"/>
      <c r="C375" s="16"/>
    </row>
    <row r="376" spans="2:3" ht="16.5" hidden="1" customHeight="1" x14ac:dyDescent="0.25">
      <c r="B376" s="16"/>
      <c r="C376" s="16"/>
    </row>
    <row r="377" spans="2:3" ht="16.5" hidden="1" customHeight="1" x14ac:dyDescent="0.25">
      <c r="B377" s="16"/>
      <c r="C377" s="16"/>
    </row>
    <row r="378" spans="2:3" ht="16.5" hidden="1" customHeight="1" x14ac:dyDescent="0.25">
      <c r="B378" s="16"/>
      <c r="C378" s="16"/>
    </row>
    <row r="379" spans="2:3" ht="16.5" hidden="1" customHeight="1" x14ac:dyDescent="0.25">
      <c r="B379" s="16"/>
      <c r="C379" s="16"/>
    </row>
    <row r="380" spans="2:3" ht="16.5" hidden="1" customHeight="1" x14ac:dyDescent="0.25">
      <c r="B380" s="16"/>
      <c r="C380" s="16"/>
    </row>
    <row r="381" spans="2:3" ht="16.5" hidden="1" customHeight="1" x14ac:dyDescent="0.25">
      <c r="B381" s="16"/>
      <c r="C381" s="16"/>
    </row>
    <row r="382" spans="2:3" ht="16.5" hidden="1" customHeight="1" x14ac:dyDescent="0.25">
      <c r="B382" s="16"/>
      <c r="C382" s="16"/>
    </row>
    <row r="383" spans="2:3" ht="16.5" hidden="1" customHeight="1" x14ac:dyDescent="0.25">
      <c r="B383" s="16"/>
      <c r="C383" s="16"/>
    </row>
    <row r="384" spans="2:3" ht="16.5" hidden="1" customHeight="1" x14ac:dyDescent="0.25">
      <c r="B384" s="16"/>
      <c r="C384" s="16"/>
    </row>
    <row r="385" spans="2:3" ht="16.5" hidden="1" customHeight="1" x14ac:dyDescent="0.25">
      <c r="B385" s="16"/>
      <c r="C385" s="16"/>
    </row>
    <row r="386" spans="2:3" ht="16.5" hidden="1" customHeight="1" x14ac:dyDescent="0.25">
      <c r="B386" s="16"/>
      <c r="C386" s="16"/>
    </row>
    <row r="387" spans="2:3" ht="16.5" hidden="1" customHeight="1" x14ac:dyDescent="0.25">
      <c r="B387" s="16"/>
      <c r="C387" s="16"/>
    </row>
    <row r="388" spans="2:3" ht="16.5" hidden="1" customHeight="1" x14ac:dyDescent="0.25">
      <c r="B388" s="16"/>
      <c r="C388" s="16"/>
    </row>
    <row r="389" spans="2:3" ht="16.5" hidden="1" customHeight="1" x14ac:dyDescent="0.25">
      <c r="B389" s="16"/>
      <c r="C389" s="16"/>
    </row>
    <row r="390" spans="2:3" ht="16.5" hidden="1" customHeight="1" x14ac:dyDescent="0.25">
      <c r="B390" s="16"/>
      <c r="C390" s="16"/>
    </row>
    <row r="391" spans="2:3" ht="16.5" hidden="1" customHeight="1" x14ac:dyDescent="0.25">
      <c r="B391" s="16"/>
      <c r="C391" s="16"/>
    </row>
    <row r="392" spans="2:3" ht="16.5" hidden="1" customHeight="1" x14ac:dyDescent="0.25">
      <c r="B392" s="16"/>
      <c r="C392" s="16"/>
    </row>
    <row r="393" spans="2:3" ht="16.5" hidden="1" customHeight="1" x14ac:dyDescent="0.25">
      <c r="B393" s="16"/>
      <c r="C393" s="16"/>
    </row>
    <row r="394" spans="2:3" ht="16.5" hidden="1" customHeight="1" x14ac:dyDescent="0.25">
      <c r="B394" s="16"/>
      <c r="C394" s="16"/>
    </row>
    <row r="395" spans="2:3" ht="16.5" hidden="1" customHeight="1" x14ac:dyDescent="0.25">
      <c r="B395" s="16"/>
      <c r="C395" s="16"/>
    </row>
    <row r="396" spans="2:3" ht="16.5" hidden="1" customHeight="1" x14ac:dyDescent="0.25">
      <c r="B396" s="16"/>
      <c r="C396" s="16"/>
    </row>
    <row r="397" spans="2:3" ht="16.5" hidden="1" customHeight="1" x14ac:dyDescent="0.25">
      <c r="B397" s="16"/>
      <c r="C397" s="16"/>
    </row>
    <row r="398" spans="2:3" ht="16.5" hidden="1" customHeight="1" x14ac:dyDescent="0.25">
      <c r="B398" s="16"/>
      <c r="C398" s="16"/>
    </row>
    <row r="399" spans="2:3" ht="16.5" hidden="1" customHeight="1" x14ac:dyDescent="0.25">
      <c r="B399" s="16"/>
      <c r="C399" s="16"/>
    </row>
    <row r="400" spans="2:3" ht="16.5" hidden="1" customHeight="1" x14ac:dyDescent="0.25">
      <c r="B400" s="16"/>
      <c r="C400" s="16"/>
    </row>
    <row r="401" spans="2:3" ht="16.5" hidden="1" customHeight="1" x14ac:dyDescent="0.25">
      <c r="B401" s="16"/>
      <c r="C401" s="16"/>
    </row>
    <row r="402" spans="2:3" ht="16.5" hidden="1" customHeight="1" x14ac:dyDescent="0.25">
      <c r="B402" s="16"/>
      <c r="C402" s="16"/>
    </row>
    <row r="403" spans="2:3" ht="16.5" hidden="1" customHeight="1" x14ac:dyDescent="0.25">
      <c r="B403" s="16"/>
      <c r="C403" s="16"/>
    </row>
    <row r="404" spans="2:3" ht="16.5" hidden="1" customHeight="1" x14ac:dyDescent="0.25">
      <c r="B404" s="16"/>
      <c r="C404" s="16"/>
    </row>
    <row r="405" spans="2:3" ht="16.5" hidden="1" customHeight="1" x14ac:dyDescent="0.25">
      <c r="B405" s="16"/>
      <c r="C405" s="16"/>
    </row>
    <row r="406" spans="2:3" ht="16.5" hidden="1" customHeight="1" x14ac:dyDescent="0.25">
      <c r="B406" s="16"/>
      <c r="C406" s="16"/>
    </row>
    <row r="407" spans="2:3" ht="16.5" hidden="1" customHeight="1" x14ac:dyDescent="0.25">
      <c r="B407" s="16"/>
      <c r="C407" s="16"/>
    </row>
    <row r="408" spans="2:3" ht="16.5" hidden="1" customHeight="1" x14ac:dyDescent="0.25">
      <c r="B408" s="16"/>
      <c r="C408" s="16"/>
    </row>
    <row r="409" spans="2:3" ht="16.5" hidden="1" customHeight="1" x14ac:dyDescent="0.25">
      <c r="B409" s="16"/>
      <c r="C409" s="16"/>
    </row>
    <row r="410" spans="2:3" ht="16.5" hidden="1" customHeight="1" x14ac:dyDescent="0.25">
      <c r="B410" s="16"/>
      <c r="C410" s="16"/>
    </row>
    <row r="411" spans="2:3" ht="16.5" hidden="1" customHeight="1" x14ac:dyDescent="0.25">
      <c r="B411" s="16"/>
      <c r="C411" s="16"/>
    </row>
    <row r="412" spans="2:3" ht="16.5" hidden="1" customHeight="1" x14ac:dyDescent="0.25">
      <c r="B412" s="16"/>
      <c r="C412" s="16"/>
    </row>
    <row r="413" spans="2:3" ht="16.5" hidden="1" customHeight="1" x14ac:dyDescent="0.25">
      <c r="B413" s="16"/>
      <c r="C413" s="16"/>
    </row>
    <row r="414" spans="2:3" ht="16.5" hidden="1" customHeight="1" x14ac:dyDescent="0.25">
      <c r="B414" s="16"/>
      <c r="C414" s="16"/>
    </row>
    <row r="415" spans="2:3" ht="16.5" hidden="1" customHeight="1" x14ac:dyDescent="0.25">
      <c r="B415" s="16"/>
      <c r="C415" s="16"/>
    </row>
    <row r="416" spans="2:3" ht="16.5" hidden="1" customHeight="1" x14ac:dyDescent="0.25">
      <c r="B416" s="16"/>
      <c r="C416" s="16"/>
    </row>
    <row r="417" spans="2:3" ht="16.5" hidden="1" customHeight="1" x14ac:dyDescent="0.25">
      <c r="B417" s="16"/>
      <c r="C417" s="16"/>
    </row>
    <row r="418" spans="2:3" ht="16.5" hidden="1" customHeight="1" x14ac:dyDescent="0.25">
      <c r="B418" s="16"/>
      <c r="C418" s="16"/>
    </row>
    <row r="419" spans="2:3" ht="16.5" hidden="1" customHeight="1" x14ac:dyDescent="0.25">
      <c r="B419" s="16"/>
      <c r="C419" s="16"/>
    </row>
    <row r="420" spans="2:3" ht="16.5" hidden="1" customHeight="1" x14ac:dyDescent="0.25">
      <c r="B420" s="16"/>
      <c r="C420" s="16"/>
    </row>
    <row r="421" spans="2:3" ht="16.5" hidden="1" customHeight="1" x14ac:dyDescent="0.25">
      <c r="B421" s="16"/>
      <c r="C421" s="16"/>
    </row>
    <row r="422" spans="2:3" ht="16.5" hidden="1" customHeight="1" x14ac:dyDescent="0.25">
      <c r="B422" s="16"/>
      <c r="C422" s="16"/>
    </row>
    <row r="423" spans="2:3" ht="16.5" hidden="1" customHeight="1" x14ac:dyDescent="0.25">
      <c r="B423" s="16"/>
      <c r="C423" s="16"/>
    </row>
    <row r="424" spans="2:3" ht="16.5" hidden="1" customHeight="1" x14ac:dyDescent="0.25">
      <c r="B424" s="16"/>
      <c r="C424" s="16"/>
    </row>
    <row r="425" spans="2:3" ht="16.5" hidden="1" customHeight="1" x14ac:dyDescent="0.25">
      <c r="B425" s="16"/>
      <c r="C425" s="16"/>
    </row>
    <row r="426" spans="2:3" ht="16.5" hidden="1" customHeight="1" x14ac:dyDescent="0.25">
      <c r="B426" s="16"/>
      <c r="C426" s="16"/>
    </row>
    <row r="427" spans="2:3" ht="16.5" hidden="1" customHeight="1" x14ac:dyDescent="0.25">
      <c r="B427" s="16"/>
      <c r="C427" s="16"/>
    </row>
    <row r="428" spans="2:3" ht="16.5" hidden="1" customHeight="1" x14ac:dyDescent="0.25">
      <c r="B428" s="16"/>
      <c r="C428" s="16"/>
    </row>
    <row r="429" spans="2:3" ht="16.5" hidden="1" customHeight="1" x14ac:dyDescent="0.25">
      <c r="B429" s="16"/>
      <c r="C429" s="16"/>
    </row>
    <row r="430" spans="2:3" ht="16.5" hidden="1" customHeight="1" x14ac:dyDescent="0.25">
      <c r="B430" s="16"/>
      <c r="C430" s="16"/>
    </row>
    <row r="431" spans="2:3" ht="16.5" hidden="1" customHeight="1" x14ac:dyDescent="0.25">
      <c r="B431" s="16"/>
      <c r="C431" s="16"/>
    </row>
    <row r="432" spans="2:3" ht="16.5" hidden="1" customHeight="1" x14ac:dyDescent="0.25">
      <c r="B432" s="16"/>
      <c r="C432" s="16"/>
    </row>
    <row r="433" spans="2:3" ht="16.5" hidden="1" customHeight="1" x14ac:dyDescent="0.25">
      <c r="B433" s="16"/>
      <c r="C433" s="16"/>
    </row>
    <row r="434" spans="2:3" ht="16.5" hidden="1" customHeight="1" x14ac:dyDescent="0.25">
      <c r="B434" s="16"/>
      <c r="C434" s="16"/>
    </row>
    <row r="435" spans="2:3" ht="16.5" hidden="1" customHeight="1" x14ac:dyDescent="0.25">
      <c r="B435" s="16"/>
      <c r="C435" s="16"/>
    </row>
    <row r="436" spans="2:3" ht="16.5" hidden="1" customHeight="1" x14ac:dyDescent="0.25">
      <c r="B436" s="16"/>
      <c r="C436" s="16"/>
    </row>
    <row r="437" spans="2:3" ht="16.5" hidden="1" customHeight="1" x14ac:dyDescent="0.25">
      <c r="B437" s="16"/>
      <c r="C437" s="16"/>
    </row>
    <row r="438" spans="2:3" ht="16.5" hidden="1" customHeight="1" x14ac:dyDescent="0.25">
      <c r="B438" s="16"/>
      <c r="C438" s="16"/>
    </row>
    <row r="439" spans="2:3" ht="16.5" hidden="1" customHeight="1" x14ac:dyDescent="0.25">
      <c r="B439" s="16"/>
      <c r="C439" s="16"/>
    </row>
    <row r="440" spans="2:3" ht="16.5" hidden="1" customHeight="1" x14ac:dyDescent="0.25">
      <c r="B440" s="16"/>
      <c r="C440" s="16"/>
    </row>
    <row r="441" spans="2:3" ht="16.5" hidden="1" customHeight="1" x14ac:dyDescent="0.25">
      <c r="B441" s="16"/>
      <c r="C441" s="16"/>
    </row>
    <row r="442" spans="2:3" ht="16.5" hidden="1" customHeight="1" x14ac:dyDescent="0.25">
      <c r="B442" s="16"/>
      <c r="C442" s="16"/>
    </row>
    <row r="443" spans="2:3" ht="16.5" hidden="1" customHeight="1" x14ac:dyDescent="0.25">
      <c r="B443" s="16"/>
      <c r="C443" s="16"/>
    </row>
    <row r="444" spans="2:3" ht="16.5" hidden="1" customHeight="1" x14ac:dyDescent="0.25">
      <c r="B444" s="16"/>
      <c r="C444" s="16"/>
    </row>
    <row r="445" spans="2:3" ht="16.5" hidden="1" customHeight="1" x14ac:dyDescent="0.25">
      <c r="B445" s="16"/>
      <c r="C445" s="16"/>
    </row>
    <row r="446" spans="2:3" ht="16.5" hidden="1" customHeight="1" x14ac:dyDescent="0.25">
      <c r="B446" s="16"/>
      <c r="C446" s="16"/>
    </row>
    <row r="447" spans="2:3" ht="16.5" hidden="1" customHeight="1" x14ac:dyDescent="0.25">
      <c r="B447" s="16"/>
      <c r="C447" s="16"/>
    </row>
    <row r="448" spans="2:3" ht="16.5" hidden="1" customHeight="1" x14ac:dyDescent="0.25">
      <c r="B448" s="16"/>
      <c r="C448" s="16"/>
    </row>
    <row r="449" spans="2:3" ht="16.5" hidden="1" customHeight="1" x14ac:dyDescent="0.25">
      <c r="B449" s="16"/>
      <c r="C449" s="16"/>
    </row>
    <row r="450" spans="2:3" ht="16.5" hidden="1" customHeight="1" x14ac:dyDescent="0.25">
      <c r="B450" s="16"/>
      <c r="C450" s="16"/>
    </row>
    <row r="451" spans="2:3" ht="16.5" hidden="1" customHeight="1" x14ac:dyDescent="0.25">
      <c r="B451" s="16"/>
      <c r="C451" s="16"/>
    </row>
    <row r="452" spans="2:3" ht="16.5" hidden="1" customHeight="1" x14ac:dyDescent="0.25">
      <c r="B452" s="16"/>
      <c r="C452" s="16"/>
    </row>
    <row r="453" spans="2:3" ht="16.5" hidden="1" customHeight="1" x14ac:dyDescent="0.25">
      <c r="B453" s="16"/>
      <c r="C453" s="16"/>
    </row>
    <row r="454" spans="2:3" ht="16.5" hidden="1" customHeight="1" x14ac:dyDescent="0.25">
      <c r="B454" s="16"/>
      <c r="C454" s="16"/>
    </row>
    <row r="455" spans="2:3" ht="16.5" hidden="1" customHeight="1" x14ac:dyDescent="0.25">
      <c r="B455" s="16"/>
      <c r="C455" s="16"/>
    </row>
    <row r="456" spans="2:3" ht="16.5" hidden="1" customHeight="1" x14ac:dyDescent="0.25">
      <c r="B456" s="16"/>
      <c r="C456" s="16"/>
    </row>
    <row r="457" spans="2:3" ht="16.5" hidden="1" customHeight="1" x14ac:dyDescent="0.25">
      <c r="B457" s="16"/>
      <c r="C457" s="16"/>
    </row>
    <row r="458" spans="2:3" ht="16.5" hidden="1" customHeight="1" x14ac:dyDescent="0.25">
      <c r="B458" s="16"/>
      <c r="C458" s="16"/>
    </row>
    <row r="459" spans="2:3" ht="16.5" hidden="1" customHeight="1" x14ac:dyDescent="0.25">
      <c r="B459" s="16"/>
      <c r="C459" s="16"/>
    </row>
    <row r="460" spans="2:3" ht="16.5" hidden="1" customHeight="1" x14ac:dyDescent="0.25">
      <c r="B460" s="16"/>
      <c r="C460" s="16"/>
    </row>
    <row r="461" spans="2:3" ht="16.5" hidden="1" customHeight="1" x14ac:dyDescent="0.25">
      <c r="B461" s="16"/>
      <c r="C461" s="16"/>
    </row>
    <row r="462" spans="2:3" ht="16.5" hidden="1" customHeight="1" x14ac:dyDescent="0.25">
      <c r="B462" s="16"/>
      <c r="C462" s="16"/>
    </row>
    <row r="463" spans="2:3" ht="16.5" hidden="1" customHeight="1" x14ac:dyDescent="0.25">
      <c r="B463" s="16"/>
      <c r="C463" s="16"/>
    </row>
    <row r="464" spans="2:3" ht="16.5" hidden="1" customHeight="1" x14ac:dyDescent="0.25">
      <c r="B464" s="16"/>
      <c r="C464" s="16"/>
    </row>
    <row r="465" spans="2:3" ht="16.5" hidden="1" customHeight="1" x14ac:dyDescent="0.25">
      <c r="B465" s="16"/>
      <c r="C465" s="16"/>
    </row>
    <row r="466" spans="2:3" ht="16.5" hidden="1" customHeight="1" x14ac:dyDescent="0.25">
      <c r="B466" s="16"/>
      <c r="C466" s="16"/>
    </row>
    <row r="467" spans="2:3" ht="16.5" hidden="1" customHeight="1" x14ac:dyDescent="0.25">
      <c r="B467" s="16"/>
      <c r="C467" s="16"/>
    </row>
    <row r="468" spans="2:3" ht="16.5" hidden="1" customHeight="1" x14ac:dyDescent="0.25">
      <c r="B468" s="16"/>
      <c r="C468" s="16"/>
    </row>
    <row r="469" spans="2:3" ht="16.5" hidden="1" customHeight="1" x14ac:dyDescent="0.25">
      <c r="B469" s="16"/>
      <c r="C469" s="16"/>
    </row>
    <row r="470" spans="2:3" ht="16.5" hidden="1" customHeight="1" x14ac:dyDescent="0.25">
      <c r="B470" s="16"/>
      <c r="C470" s="16"/>
    </row>
    <row r="471" spans="2:3" ht="16.5" hidden="1" customHeight="1" x14ac:dyDescent="0.25">
      <c r="B471" s="16"/>
      <c r="C471" s="16"/>
    </row>
    <row r="472" spans="2:3" ht="16.5" hidden="1" customHeight="1" x14ac:dyDescent="0.25">
      <c r="B472" s="16"/>
      <c r="C472" s="16"/>
    </row>
    <row r="473" spans="2:3" ht="16.5" hidden="1" customHeight="1" x14ac:dyDescent="0.25">
      <c r="B473" s="16"/>
      <c r="C473" s="16"/>
    </row>
    <row r="474" spans="2:3" ht="16.5" hidden="1" customHeight="1" x14ac:dyDescent="0.25">
      <c r="B474" s="16"/>
      <c r="C474" s="16"/>
    </row>
    <row r="475" spans="2:3" ht="16.5" hidden="1" customHeight="1" x14ac:dyDescent="0.25">
      <c r="B475" s="16"/>
      <c r="C475" s="16"/>
    </row>
    <row r="476" spans="2:3" ht="16.5" hidden="1" customHeight="1" x14ac:dyDescent="0.25">
      <c r="B476" s="16"/>
      <c r="C476" s="16"/>
    </row>
    <row r="477" spans="2:3" ht="16.5" hidden="1" customHeight="1" x14ac:dyDescent="0.25">
      <c r="B477" s="16"/>
      <c r="C477" s="16"/>
    </row>
    <row r="478" spans="2:3" ht="16.5" hidden="1" customHeight="1" x14ac:dyDescent="0.25">
      <c r="B478" s="16"/>
      <c r="C478" s="16"/>
    </row>
    <row r="479" spans="2:3" ht="16.5" hidden="1" customHeight="1" x14ac:dyDescent="0.25">
      <c r="B479" s="16"/>
      <c r="C479" s="16"/>
    </row>
    <row r="480" spans="2:3" ht="16.5" hidden="1" customHeight="1" x14ac:dyDescent="0.25">
      <c r="B480" s="16"/>
      <c r="C480" s="16"/>
    </row>
    <row r="481" spans="2:3" ht="16.5" hidden="1" customHeight="1" x14ac:dyDescent="0.25">
      <c r="B481" s="16"/>
      <c r="C481" s="16"/>
    </row>
    <row r="482" spans="2:3" ht="16.5" hidden="1" customHeight="1" x14ac:dyDescent="0.25">
      <c r="B482" s="16"/>
      <c r="C482" s="16"/>
    </row>
    <row r="483" spans="2:3" ht="16.5" hidden="1" customHeight="1" x14ac:dyDescent="0.25">
      <c r="B483" s="16"/>
      <c r="C483" s="16"/>
    </row>
    <row r="484" spans="2:3" ht="16.5" hidden="1" customHeight="1" x14ac:dyDescent="0.25">
      <c r="B484" s="16"/>
      <c r="C484" s="16"/>
    </row>
    <row r="485" spans="2:3" ht="16.5" hidden="1" customHeight="1" x14ac:dyDescent="0.25">
      <c r="B485" s="16"/>
      <c r="C485" s="16"/>
    </row>
    <row r="486" spans="2:3" ht="16.5" hidden="1" customHeight="1" x14ac:dyDescent="0.25">
      <c r="B486" s="16"/>
      <c r="C486" s="16"/>
    </row>
    <row r="487" spans="2:3" ht="16.5" hidden="1" customHeight="1" x14ac:dyDescent="0.25">
      <c r="B487" s="16"/>
      <c r="C487" s="16"/>
    </row>
    <row r="488" spans="2:3" ht="16.5" hidden="1" customHeight="1" x14ac:dyDescent="0.25">
      <c r="B488" s="16"/>
      <c r="C488" s="16"/>
    </row>
    <row r="489" spans="2:3" ht="16.5" hidden="1" customHeight="1" x14ac:dyDescent="0.25">
      <c r="B489" s="16"/>
      <c r="C489" s="16"/>
    </row>
    <row r="490" spans="2:3" ht="16.5" hidden="1" customHeight="1" x14ac:dyDescent="0.25">
      <c r="B490" s="16"/>
      <c r="C490" s="16"/>
    </row>
    <row r="491" spans="2:3" ht="16.5" hidden="1" customHeight="1" x14ac:dyDescent="0.25">
      <c r="B491" s="16"/>
      <c r="C491" s="16"/>
    </row>
    <row r="492" spans="2:3" ht="16.5" hidden="1" customHeight="1" x14ac:dyDescent="0.25">
      <c r="B492" s="16"/>
      <c r="C492" s="16"/>
    </row>
    <row r="493" spans="2:3" ht="16.5" hidden="1" customHeight="1" x14ac:dyDescent="0.25">
      <c r="B493" s="16"/>
      <c r="C493" s="16"/>
    </row>
    <row r="494" spans="2:3" ht="16.5" hidden="1" customHeight="1" x14ac:dyDescent="0.25">
      <c r="B494" s="16"/>
      <c r="C494" s="16"/>
    </row>
    <row r="495" spans="2:3" ht="16.5" hidden="1" customHeight="1" x14ac:dyDescent="0.25">
      <c r="B495" s="16"/>
      <c r="C495" s="16"/>
    </row>
    <row r="496" spans="2:3" ht="16.5" hidden="1" customHeight="1" x14ac:dyDescent="0.25">
      <c r="B496" s="16"/>
      <c r="C496" s="16"/>
    </row>
    <row r="497" spans="2:3" ht="16.5" hidden="1" customHeight="1" x14ac:dyDescent="0.25">
      <c r="B497" s="16"/>
      <c r="C497" s="16"/>
    </row>
    <row r="498" spans="2:3" ht="16.5" hidden="1" customHeight="1" x14ac:dyDescent="0.25">
      <c r="B498" s="16"/>
      <c r="C498" s="16"/>
    </row>
    <row r="499" spans="2:3" ht="16.5" hidden="1" customHeight="1" x14ac:dyDescent="0.25">
      <c r="B499" s="16"/>
      <c r="C499" s="16"/>
    </row>
    <row r="500" spans="2:3" ht="16.5" hidden="1" customHeight="1" x14ac:dyDescent="0.25">
      <c r="B500" s="16"/>
      <c r="C500" s="16"/>
    </row>
    <row r="501" spans="2:3" ht="16.5" hidden="1" customHeight="1" x14ac:dyDescent="0.25">
      <c r="B501" s="16"/>
      <c r="C501" s="16"/>
    </row>
    <row r="502" spans="2:3" ht="16.5" hidden="1" customHeight="1" x14ac:dyDescent="0.25">
      <c r="B502" s="16"/>
      <c r="C502" s="16"/>
    </row>
    <row r="503" spans="2:3" ht="16.5" hidden="1" customHeight="1" x14ac:dyDescent="0.25">
      <c r="B503" s="16"/>
      <c r="C503" s="16"/>
    </row>
    <row r="504" spans="2:3" ht="16.5" hidden="1" customHeight="1" x14ac:dyDescent="0.25">
      <c r="B504" s="16"/>
      <c r="C504" s="16"/>
    </row>
    <row r="505" spans="2:3" ht="16.5" hidden="1" customHeight="1" x14ac:dyDescent="0.25">
      <c r="B505" s="16"/>
      <c r="C505" s="16"/>
    </row>
    <row r="506" spans="2:3" ht="16.5" hidden="1" customHeight="1" x14ac:dyDescent="0.25">
      <c r="B506" s="16"/>
      <c r="C506" s="16"/>
    </row>
    <row r="507" spans="2:3" ht="16.5" hidden="1" customHeight="1" x14ac:dyDescent="0.25">
      <c r="B507" s="16"/>
      <c r="C507" s="16"/>
    </row>
    <row r="508" spans="2:3" ht="16.5" hidden="1" customHeight="1" x14ac:dyDescent="0.25">
      <c r="B508" s="16"/>
      <c r="C508" s="16"/>
    </row>
    <row r="509" spans="2:3" ht="16.5" hidden="1" customHeight="1" x14ac:dyDescent="0.25">
      <c r="B509" s="16"/>
      <c r="C509" s="16"/>
    </row>
    <row r="510" spans="2:3" ht="16.5" hidden="1" customHeight="1" x14ac:dyDescent="0.25">
      <c r="B510" s="16"/>
      <c r="C510" s="16"/>
    </row>
    <row r="511" spans="2:3" ht="16.5" hidden="1" customHeight="1" x14ac:dyDescent="0.25">
      <c r="B511" s="16"/>
      <c r="C511" s="16"/>
    </row>
    <row r="512" spans="2:3" ht="16.5" hidden="1" customHeight="1" x14ac:dyDescent="0.25">
      <c r="B512" s="16"/>
      <c r="C512" s="16"/>
    </row>
    <row r="513" spans="2:3" ht="16.5" hidden="1" customHeight="1" x14ac:dyDescent="0.25">
      <c r="B513" s="16"/>
      <c r="C513" s="16"/>
    </row>
    <row r="514" spans="2:3" ht="16.5" hidden="1" customHeight="1" x14ac:dyDescent="0.25">
      <c r="B514" s="16"/>
      <c r="C514" s="16"/>
    </row>
    <row r="515" spans="2:3" ht="16.5" hidden="1" customHeight="1" x14ac:dyDescent="0.25">
      <c r="B515" s="16"/>
      <c r="C515" s="16"/>
    </row>
    <row r="516" spans="2:3" ht="16.5" hidden="1" customHeight="1" x14ac:dyDescent="0.25">
      <c r="B516" s="16"/>
      <c r="C516" s="16"/>
    </row>
    <row r="517" spans="2:3" ht="16.5" hidden="1" customHeight="1" x14ac:dyDescent="0.25">
      <c r="B517" s="16"/>
      <c r="C517" s="16"/>
    </row>
    <row r="518" spans="2:3" ht="16.5" hidden="1" customHeight="1" x14ac:dyDescent="0.25">
      <c r="B518" s="16"/>
      <c r="C518" s="16"/>
    </row>
    <row r="519" spans="2:3" ht="16.5" hidden="1" customHeight="1" x14ac:dyDescent="0.25">
      <c r="B519" s="16"/>
      <c r="C519" s="16"/>
    </row>
    <row r="520" spans="2:3" ht="16.5" hidden="1" customHeight="1" x14ac:dyDescent="0.25">
      <c r="B520" s="16"/>
      <c r="C520" s="16"/>
    </row>
    <row r="521" spans="2:3" ht="16.5" hidden="1" customHeight="1" x14ac:dyDescent="0.25">
      <c r="B521" s="16"/>
      <c r="C521" s="16"/>
    </row>
    <row r="522" spans="2:3" ht="16.5" hidden="1" customHeight="1" x14ac:dyDescent="0.25">
      <c r="B522" s="16"/>
      <c r="C522" s="16"/>
    </row>
    <row r="523" spans="2:3" ht="16.5" hidden="1" customHeight="1" x14ac:dyDescent="0.25">
      <c r="B523" s="16"/>
      <c r="C523" s="16"/>
    </row>
    <row r="524" spans="2:3" ht="16.5" hidden="1" customHeight="1" x14ac:dyDescent="0.25">
      <c r="B524" s="16"/>
      <c r="C524" s="16"/>
    </row>
    <row r="525" spans="2:3" ht="16.5" hidden="1" customHeight="1" x14ac:dyDescent="0.25">
      <c r="B525" s="16"/>
      <c r="C525" s="16"/>
    </row>
    <row r="526" spans="2:3" ht="16.5" hidden="1" customHeight="1" x14ac:dyDescent="0.25">
      <c r="B526" s="16"/>
      <c r="C526" s="16"/>
    </row>
    <row r="527" spans="2:3" ht="16.5" hidden="1" customHeight="1" x14ac:dyDescent="0.25">
      <c r="B527" s="16"/>
      <c r="C527" s="16"/>
    </row>
    <row r="528" spans="2:3" ht="16.5" hidden="1" customHeight="1" x14ac:dyDescent="0.25">
      <c r="B528" s="16"/>
      <c r="C528" s="16"/>
    </row>
    <row r="529" spans="2:3" ht="16.5" hidden="1" customHeight="1" x14ac:dyDescent="0.25">
      <c r="B529" s="16"/>
      <c r="C529" s="16"/>
    </row>
    <row r="530" spans="2:3" ht="16.5" hidden="1" customHeight="1" x14ac:dyDescent="0.25">
      <c r="B530" s="16"/>
      <c r="C530" s="16"/>
    </row>
    <row r="531" spans="2:3" ht="16.5" hidden="1" customHeight="1" x14ac:dyDescent="0.25">
      <c r="B531" s="16"/>
      <c r="C531" s="16"/>
    </row>
    <row r="532" spans="2:3" ht="16.5" hidden="1" customHeight="1" x14ac:dyDescent="0.25">
      <c r="B532" s="16"/>
      <c r="C532" s="16"/>
    </row>
    <row r="533" spans="2:3" ht="16.5" hidden="1" customHeight="1" x14ac:dyDescent="0.25">
      <c r="B533" s="16"/>
      <c r="C533" s="16"/>
    </row>
    <row r="534" spans="2:3" ht="16.5" hidden="1" customHeight="1" x14ac:dyDescent="0.25">
      <c r="B534" s="16"/>
      <c r="C534" s="16"/>
    </row>
    <row r="535" spans="2:3" ht="16.5" hidden="1" customHeight="1" x14ac:dyDescent="0.25">
      <c r="B535" s="16"/>
      <c r="C535" s="16"/>
    </row>
    <row r="536" spans="2:3" ht="16.5" hidden="1" customHeight="1" x14ac:dyDescent="0.25">
      <c r="B536" s="16"/>
      <c r="C536" s="16"/>
    </row>
    <row r="537" spans="2:3" ht="16.5" hidden="1" customHeight="1" x14ac:dyDescent="0.25">
      <c r="B537" s="16"/>
      <c r="C537" s="16"/>
    </row>
    <row r="538" spans="2:3" ht="16.5" hidden="1" customHeight="1" x14ac:dyDescent="0.25">
      <c r="B538" s="16"/>
      <c r="C538" s="16"/>
    </row>
    <row r="539" spans="2:3" ht="16.5" hidden="1" customHeight="1" x14ac:dyDescent="0.25">
      <c r="B539" s="16"/>
      <c r="C539" s="16"/>
    </row>
    <row r="540" spans="2:3" ht="16.5" hidden="1" customHeight="1" x14ac:dyDescent="0.25">
      <c r="B540" s="16"/>
      <c r="C540" s="16"/>
    </row>
    <row r="541" spans="2:3" ht="16.5" hidden="1" customHeight="1" x14ac:dyDescent="0.25">
      <c r="B541" s="16"/>
      <c r="C541" s="16"/>
    </row>
    <row r="542" spans="2:3" ht="16.5" hidden="1" customHeight="1" x14ac:dyDescent="0.25">
      <c r="B542" s="16"/>
      <c r="C542" s="16"/>
    </row>
    <row r="543" spans="2:3" ht="16.5" hidden="1" customHeight="1" x14ac:dyDescent="0.25">
      <c r="B543" s="16"/>
      <c r="C543" s="16"/>
    </row>
    <row r="544" spans="2:3" ht="16.5" hidden="1" customHeight="1" x14ac:dyDescent="0.25">
      <c r="B544" s="16"/>
      <c r="C544" s="16"/>
    </row>
    <row r="545" spans="2:3" ht="16.5" hidden="1" customHeight="1" x14ac:dyDescent="0.25">
      <c r="B545" s="16"/>
      <c r="C545" s="16"/>
    </row>
    <row r="546" spans="2:3" ht="16.5" hidden="1" customHeight="1" x14ac:dyDescent="0.25">
      <c r="B546" s="16"/>
      <c r="C546" s="16"/>
    </row>
    <row r="547" spans="2:3" ht="16.5" hidden="1" customHeight="1" x14ac:dyDescent="0.25">
      <c r="B547" s="16"/>
      <c r="C547" s="16"/>
    </row>
    <row r="548" spans="2:3" ht="16.5" hidden="1" customHeight="1" x14ac:dyDescent="0.25">
      <c r="B548" s="16"/>
      <c r="C548" s="16"/>
    </row>
    <row r="549" spans="2:3" ht="16.5" hidden="1" customHeight="1" x14ac:dyDescent="0.25">
      <c r="B549" s="16"/>
      <c r="C549" s="16"/>
    </row>
    <row r="550" spans="2:3" ht="16.5" hidden="1" customHeight="1" x14ac:dyDescent="0.25">
      <c r="B550" s="16"/>
      <c r="C550" s="16"/>
    </row>
    <row r="551" spans="2:3" ht="16.5" hidden="1" customHeight="1" x14ac:dyDescent="0.25">
      <c r="B551" s="16"/>
      <c r="C551" s="16"/>
    </row>
    <row r="552" spans="2:3" ht="16.5" hidden="1" customHeight="1" x14ac:dyDescent="0.25">
      <c r="B552" s="16"/>
      <c r="C552" s="16"/>
    </row>
    <row r="553" spans="2:3" ht="16.5" hidden="1" customHeight="1" x14ac:dyDescent="0.25">
      <c r="B553" s="16"/>
      <c r="C553" s="16"/>
    </row>
    <row r="554" spans="2:3" ht="16.5" hidden="1" customHeight="1" x14ac:dyDescent="0.25"/>
    <row r="555" spans="2:3" ht="16.5" hidden="1" customHeight="1" x14ac:dyDescent="0.25"/>
    <row r="556" spans="2:3" ht="16.5" hidden="1" customHeight="1" x14ac:dyDescent="0.25"/>
    <row r="557" spans="2:3" ht="16.5" hidden="1" customHeight="1" x14ac:dyDescent="0.25"/>
    <row r="558" spans="2:3" ht="16.5" hidden="1" customHeight="1" x14ac:dyDescent="0.25"/>
    <row r="559" spans="2:3" ht="16.5" hidden="1" customHeight="1" x14ac:dyDescent="0.25"/>
    <row r="560" spans="2:3" ht="16.5" hidden="1" customHeight="1" x14ac:dyDescent="0.25"/>
    <row r="561" ht="16.5" hidden="1" customHeight="1" x14ac:dyDescent="0.25"/>
    <row r="562" ht="16.5" hidden="1" customHeight="1" x14ac:dyDescent="0.25"/>
    <row r="563" ht="16.5" hidden="1" customHeight="1" x14ac:dyDescent="0.25"/>
    <row r="564" ht="16.5" hidden="1" customHeight="1" x14ac:dyDescent="0.2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200025</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4.25" zeroHeight="1" x14ac:dyDescent="0.2"/>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x14ac:dyDescent="0.4">
      <c r="A1" s="1052"/>
      <c r="B1" s="1052"/>
      <c r="C1" s="1052"/>
      <c r="F1" s="280"/>
      <c r="G1" s="280"/>
      <c r="H1" s="280"/>
      <c r="I1" s="280"/>
      <c r="J1" s="280"/>
      <c r="K1" s="280"/>
      <c r="L1" s="280"/>
      <c r="M1" s="280"/>
    </row>
    <row r="2" spans="1:13" ht="29.45" customHeight="1" x14ac:dyDescent="0.4">
      <c r="A2" s="1051" t="s">
        <v>935</v>
      </c>
      <c r="B2" s="1051"/>
      <c r="C2" s="1051"/>
      <c r="F2" s="281"/>
      <c r="G2" s="1053" t="s">
        <v>936</v>
      </c>
      <c r="H2" s="1053"/>
      <c r="I2" s="1053"/>
      <c r="J2" s="1053"/>
      <c r="K2" s="1053"/>
      <c r="L2" s="1053"/>
      <c r="M2" s="1054"/>
    </row>
    <row r="3" spans="1:13" ht="42.75" x14ac:dyDescent="0.2">
      <c r="A3" s="103" t="s">
        <v>937</v>
      </c>
      <c r="B3" s="103" t="s">
        <v>938</v>
      </c>
      <c r="C3" s="103" t="s">
        <v>939</v>
      </c>
      <c r="F3" s="282" t="s">
        <v>828</v>
      </c>
      <c r="G3" s="104" t="s">
        <v>27</v>
      </c>
      <c r="H3" s="104" t="s">
        <v>408</v>
      </c>
      <c r="I3" s="104" t="s">
        <v>26</v>
      </c>
      <c r="J3" s="104" t="s">
        <v>419</v>
      </c>
      <c r="K3" s="130" t="s">
        <v>233</v>
      </c>
      <c r="L3" s="130" t="s">
        <v>230</v>
      </c>
      <c r="M3" s="104" t="s">
        <v>241</v>
      </c>
    </row>
    <row r="4" spans="1:13" x14ac:dyDescent="0.2">
      <c r="A4" s="104">
        <v>0</v>
      </c>
      <c r="B4" s="543">
        <v>100</v>
      </c>
      <c r="C4" s="654">
        <v>1</v>
      </c>
      <c r="F4" s="88" t="str">
        <f>'G-1 All Habitats'!B3</f>
        <v>Cropland - Arable field margins cultivated annually</v>
      </c>
      <c r="G4" s="543" t="s">
        <v>940</v>
      </c>
      <c r="H4" s="543" t="s">
        <v>940</v>
      </c>
      <c r="I4" s="543" t="s">
        <v>940</v>
      </c>
      <c r="J4" s="543" t="s">
        <v>940</v>
      </c>
      <c r="K4" s="543" t="s">
        <v>940</v>
      </c>
      <c r="L4" s="543">
        <v>1</v>
      </c>
      <c r="M4" s="543" t="s">
        <v>940</v>
      </c>
    </row>
    <row r="5" spans="1:13" x14ac:dyDescent="0.2">
      <c r="A5" s="104">
        <v>1</v>
      </c>
      <c r="B5" s="543">
        <v>96.5</v>
      </c>
      <c r="C5" s="654">
        <v>0.96499999999999997</v>
      </c>
      <c r="F5" s="88" t="str">
        <f>'G-1 All Habitats'!B4</f>
        <v>Cropland - Arable field margins game bird mix</v>
      </c>
      <c r="G5" s="543" t="s">
        <v>940</v>
      </c>
      <c r="H5" s="543" t="s">
        <v>940</v>
      </c>
      <c r="I5" s="543" t="s">
        <v>940</v>
      </c>
      <c r="J5" s="543" t="s">
        <v>940</v>
      </c>
      <c r="K5" s="543" t="s">
        <v>940</v>
      </c>
      <c r="L5" s="543">
        <v>1</v>
      </c>
      <c r="M5" s="543" t="s">
        <v>940</v>
      </c>
    </row>
    <row r="6" spans="1:13" x14ac:dyDescent="0.2">
      <c r="A6" s="104">
        <v>2</v>
      </c>
      <c r="B6" s="543">
        <v>93.122500000000002</v>
      </c>
      <c r="C6" s="654">
        <v>0.93122499999999997</v>
      </c>
      <c r="F6" s="88" t="str">
        <f>'G-1 All Habitats'!B5</f>
        <v>Cropland - Arable field margins pollen &amp; nectar</v>
      </c>
      <c r="G6" s="543" t="s">
        <v>940</v>
      </c>
      <c r="H6" s="543" t="s">
        <v>940</v>
      </c>
      <c r="I6" s="543" t="s">
        <v>940</v>
      </c>
      <c r="J6" s="543" t="s">
        <v>940</v>
      </c>
      <c r="K6" s="543" t="s">
        <v>940</v>
      </c>
      <c r="L6" s="543">
        <v>1</v>
      </c>
      <c r="M6" s="543" t="s">
        <v>940</v>
      </c>
    </row>
    <row r="7" spans="1:13" x14ac:dyDescent="0.2">
      <c r="A7" s="104">
        <v>3</v>
      </c>
      <c r="B7" s="543">
        <v>89.863212500000003</v>
      </c>
      <c r="C7" s="654">
        <v>0.898632125</v>
      </c>
      <c r="F7" s="88" t="str">
        <f>'G-1 All Habitats'!B6</f>
        <v>Cropland - Arable field margins tussocky</v>
      </c>
      <c r="G7" s="543" t="s">
        <v>940</v>
      </c>
      <c r="H7" s="543" t="s">
        <v>940</v>
      </c>
      <c r="I7" s="543" t="s">
        <v>940</v>
      </c>
      <c r="J7" s="543" t="s">
        <v>940</v>
      </c>
      <c r="K7" s="543" t="s">
        <v>940</v>
      </c>
      <c r="L7" s="543">
        <v>1</v>
      </c>
      <c r="M7" s="543" t="s">
        <v>940</v>
      </c>
    </row>
    <row r="8" spans="1:13" x14ac:dyDescent="0.2">
      <c r="A8" s="104">
        <v>4</v>
      </c>
      <c r="B8" s="543">
        <v>86.718000059999994</v>
      </c>
      <c r="C8" s="654">
        <v>0.86718000059999989</v>
      </c>
      <c r="F8" s="88" t="str">
        <f>'G-1 All Habitats'!B7</f>
        <v>Cropland - Cereal crops</v>
      </c>
      <c r="G8" s="543" t="s">
        <v>940</v>
      </c>
      <c r="H8" s="543" t="s">
        <v>940</v>
      </c>
      <c r="I8" s="543" t="s">
        <v>940</v>
      </c>
      <c r="J8" s="543" t="s">
        <v>940</v>
      </c>
      <c r="K8" s="543" t="s">
        <v>940</v>
      </c>
      <c r="L8" s="543">
        <v>1</v>
      </c>
      <c r="M8" s="543" t="s">
        <v>940</v>
      </c>
    </row>
    <row r="9" spans="1:13" x14ac:dyDescent="0.2">
      <c r="A9" s="104">
        <v>5</v>
      </c>
      <c r="B9" s="543">
        <v>83.682870059999999</v>
      </c>
      <c r="C9" s="654">
        <v>0.83682870060000003</v>
      </c>
      <c r="F9" s="88" t="str">
        <f>'G-1 All Habitats'!B8</f>
        <v>Cropland - Cereal crops winter stubble</v>
      </c>
      <c r="G9" s="543" t="s">
        <v>940</v>
      </c>
      <c r="H9" s="543" t="s">
        <v>940</v>
      </c>
      <c r="I9" s="543" t="s">
        <v>940</v>
      </c>
      <c r="J9" s="543" t="s">
        <v>940</v>
      </c>
      <c r="K9" s="543" t="s">
        <v>940</v>
      </c>
      <c r="L9" s="543">
        <v>1</v>
      </c>
      <c r="M9" s="543" t="s">
        <v>940</v>
      </c>
    </row>
    <row r="10" spans="1:13" x14ac:dyDescent="0.2">
      <c r="A10" s="104">
        <v>6</v>
      </c>
      <c r="B10" s="543">
        <v>80.753969609999999</v>
      </c>
      <c r="C10" s="654">
        <v>0.80753969609999998</v>
      </c>
      <c r="F10" s="88" t="str">
        <f>'G-1 All Habitats'!B9</f>
        <v>Cropland - Horticulture</v>
      </c>
      <c r="G10" s="543" t="s">
        <v>940</v>
      </c>
      <c r="H10" s="543" t="s">
        <v>940</v>
      </c>
      <c r="I10" s="543" t="s">
        <v>940</v>
      </c>
      <c r="J10" s="543" t="s">
        <v>940</v>
      </c>
      <c r="K10" s="543" t="s">
        <v>940</v>
      </c>
      <c r="L10" s="543">
        <v>1</v>
      </c>
      <c r="M10" s="543" t="s">
        <v>940</v>
      </c>
    </row>
    <row r="11" spans="1:13" x14ac:dyDescent="0.2">
      <c r="A11" s="104">
        <v>7</v>
      </c>
      <c r="B11" s="543">
        <v>77.927580669999998</v>
      </c>
      <c r="C11" s="654">
        <v>0.77927580669999996</v>
      </c>
      <c r="F11" s="88" t="str">
        <f>'G-1 All Habitats'!B10</f>
        <v>Cropland - Intensive orchards</v>
      </c>
      <c r="G11" s="543" t="s">
        <v>940</v>
      </c>
      <c r="H11" s="543" t="s">
        <v>940</v>
      </c>
      <c r="I11" s="543" t="s">
        <v>940</v>
      </c>
      <c r="J11" s="543" t="s">
        <v>940</v>
      </c>
      <c r="K11" s="543" t="s">
        <v>940</v>
      </c>
      <c r="L11" s="543">
        <v>1</v>
      </c>
      <c r="M11" s="543" t="s">
        <v>940</v>
      </c>
    </row>
    <row r="12" spans="1:13" x14ac:dyDescent="0.2">
      <c r="A12" s="104">
        <v>8</v>
      </c>
      <c r="B12" s="543">
        <v>75.200115350000004</v>
      </c>
      <c r="C12" s="654">
        <v>0.75200115350000007</v>
      </c>
      <c r="F12" s="88" t="str">
        <f>'G-1 All Habitats'!B11</f>
        <v>Cropland - Non-cereal crops</v>
      </c>
      <c r="G12" s="543" t="s">
        <v>940</v>
      </c>
      <c r="H12" s="543" t="s">
        <v>940</v>
      </c>
      <c r="I12" s="543" t="s">
        <v>940</v>
      </c>
      <c r="J12" s="543" t="s">
        <v>940</v>
      </c>
      <c r="K12" s="543" t="s">
        <v>940</v>
      </c>
      <c r="L12" s="543">
        <v>1</v>
      </c>
      <c r="M12" s="543" t="s">
        <v>940</v>
      </c>
    </row>
    <row r="13" spans="1:13" x14ac:dyDescent="0.2">
      <c r="A13" s="104">
        <v>9</v>
      </c>
      <c r="B13" s="543">
        <v>72.568111310000006</v>
      </c>
      <c r="C13" s="654">
        <v>0.72568111310000005</v>
      </c>
      <c r="F13" s="88" t="str">
        <f>'G-1 All Habitats'!B12</f>
        <v>Cropland - Temporary grass and clover leys</v>
      </c>
      <c r="G13" s="543" t="s">
        <v>940</v>
      </c>
      <c r="H13" s="543" t="s">
        <v>940</v>
      </c>
      <c r="I13" s="543" t="s">
        <v>940</v>
      </c>
      <c r="J13" s="543" t="s">
        <v>940</v>
      </c>
      <c r="K13" s="543" t="s">
        <v>940</v>
      </c>
      <c r="L13" s="543">
        <v>1</v>
      </c>
      <c r="M13" s="543" t="s">
        <v>940</v>
      </c>
    </row>
    <row r="14" spans="1:13" x14ac:dyDescent="0.2">
      <c r="A14" s="104">
        <v>10</v>
      </c>
      <c r="B14" s="543">
        <v>70.028227419999993</v>
      </c>
      <c r="C14" s="654">
        <v>0.70028227419999989</v>
      </c>
      <c r="F14" s="88" t="str">
        <f>'G-1 All Habitats'!B13</f>
        <v>Grassland - Traditional orchards</v>
      </c>
      <c r="G14" s="543">
        <v>30</v>
      </c>
      <c r="H14" s="543">
        <v>25</v>
      </c>
      <c r="I14" s="543">
        <v>20</v>
      </c>
      <c r="J14" s="543">
        <v>10</v>
      </c>
      <c r="K14" s="543">
        <v>5</v>
      </c>
      <c r="L14" s="543" t="s">
        <v>940</v>
      </c>
      <c r="M14" s="543" t="s">
        <v>940</v>
      </c>
    </row>
    <row r="15" spans="1:13" x14ac:dyDescent="0.2">
      <c r="A15" s="104">
        <v>11</v>
      </c>
      <c r="B15" s="543">
        <v>67.577239460000001</v>
      </c>
      <c r="C15" s="654">
        <v>0.67577239460000005</v>
      </c>
      <c r="F15" s="88" t="str">
        <f>'G-1 All Habitats'!B14</f>
        <v>Grassland - Bracken</v>
      </c>
      <c r="G15" s="543" t="s">
        <v>940</v>
      </c>
      <c r="H15" s="543" t="s">
        <v>940</v>
      </c>
      <c r="I15" s="543" t="s">
        <v>940</v>
      </c>
      <c r="J15" s="543" t="s">
        <v>940</v>
      </c>
      <c r="K15" s="543" t="s">
        <v>940</v>
      </c>
      <c r="L15" s="543">
        <v>1</v>
      </c>
      <c r="M15" s="543" t="s">
        <v>940</v>
      </c>
    </row>
    <row r="16" spans="1:13" x14ac:dyDescent="0.2">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940</v>
      </c>
      <c r="M16" s="543" t="s">
        <v>940</v>
      </c>
    </row>
    <row r="17" spans="1:13" x14ac:dyDescent="0.2">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940</v>
      </c>
      <c r="M17" s="543" t="s">
        <v>940</v>
      </c>
    </row>
    <row r="18" spans="1:13" x14ac:dyDescent="0.2">
      <c r="A18" s="104">
        <v>14</v>
      </c>
      <c r="B18" s="543">
        <v>60.727078290000001</v>
      </c>
      <c r="C18" s="654">
        <v>0.60727078290000003</v>
      </c>
      <c r="F18" s="88" t="str">
        <f>'G-1 All Habitats'!B17</f>
        <v>Grassland - Lowland dry acid grassland</v>
      </c>
      <c r="G18" s="543" t="s">
        <v>941</v>
      </c>
      <c r="H18" s="543">
        <v>25</v>
      </c>
      <c r="I18" s="543">
        <v>20</v>
      </c>
      <c r="J18" s="543">
        <v>15</v>
      </c>
      <c r="K18" s="543">
        <v>10</v>
      </c>
      <c r="L18" s="543" t="s">
        <v>940</v>
      </c>
      <c r="M18" s="543" t="s">
        <v>940</v>
      </c>
    </row>
    <row r="19" spans="1:13" x14ac:dyDescent="0.2">
      <c r="A19" s="104">
        <v>15</v>
      </c>
      <c r="B19" s="543">
        <v>58.601630550000003</v>
      </c>
      <c r="C19" s="654">
        <v>0.58601630550000006</v>
      </c>
      <c r="F19" s="88" t="str">
        <f>'G-1 All Habitats'!B18</f>
        <v>Grassland - Lowland meadows</v>
      </c>
      <c r="G19" s="543">
        <v>15</v>
      </c>
      <c r="H19" s="543">
        <v>12</v>
      </c>
      <c r="I19" s="543">
        <v>10</v>
      </c>
      <c r="J19" s="543">
        <v>8</v>
      </c>
      <c r="K19" s="543">
        <v>5</v>
      </c>
      <c r="L19" s="543" t="s">
        <v>940</v>
      </c>
      <c r="M19" s="543" t="s">
        <v>940</v>
      </c>
    </row>
    <row r="20" spans="1:13" x14ac:dyDescent="0.2">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940</v>
      </c>
    </row>
    <row r="21" spans="1:13" ht="15" customHeight="1" x14ac:dyDescent="0.2">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940</v>
      </c>
      <c r="M21" s="543" t="s">
        <v>940</v>
      </c>
    </row>
    <row r="22" spans="1:13" ht="15" customHeight="1" x14ac:dyDescent="0.2">
      <c r="A22" s="104">
        <v>18</v>
      </c>
      <c r="B22" s="543">
        <v>52.661307790000002</v>
      </c>
      <c r="C22" s="654">
        <v>0.5266130779</v>
      </c>
      <c r="F22" s="88" t="str">
        <f>'G-1 All Habitats'!B21</f>
        <v>Grassland - Other neutral grassland</v>
      </c>
      <c r="G22" s="543">
        <v>10</v>
      </c>
      <c r="H22" s="543">
        <v>7</v>
      </c>
      <c r="I22" s="543">
        <v>5</v>
      </c>
      <c r="J22" s="543">
        <v>3</v>
      </c>
      <c r="K22" s="543">
        <v>2</v>
      </c>
      <c r="L22" s="543" t="s">
        <v>940</v>
      </c>
      <c r="M22" s="543" t="s">
        <v>940</v>
      </c>
    </row>
    <row r="23" spans="1:13" ht="15" customHeight="1" x14ac:dyDescent="0.2">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940</v>
      </c>
      <c r="M23" s="543" t="s">
        <v>940</v>
      </c>
    </row>
    <row r="24" spans="1:13" ht="15" customHeight="1" x14ac:dyDescent="0.2">
      <c r="A24" s="104">
        <v>20</v>
      </c>
      <c r="B24" s="543">
        <v>49.039526350000003</v>
      </c>
      <c r="C24" s="654">
        <v>0.49039526350000001</v>
      </c>
      <c r="F24" s="88" t="str">
        <f>'G-1 All Habitats'!B23</f>
        <v>Grassland - Upland acid grassland</v>
      </c>
      <c r="G24" s="543">
        <v>15</v>
      </c>
      <c r="H24" s="543">
        <v>12</v>
      </c>
      <c r="I24" s="543">
        <v>10</v>
      </c>
      <c r="J24" s="543">
        <v>5</v>
      </c>
      <c r="K24" s="543">
        <v>1</v>
      </c>
      <c r="L24" s="543" t="s">
        <v>940</v>
      </c>
      <c r="M24" s="543" t="s">
        <v>940</v>
      </c>
    </row>
    <row r="25" spans="1:13" ht="15" customHeight="1" x14ac:dyDescent="0.2">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940</v>
      </c>
      <c r="M25" s="543" t="s">
        <v>940</v>
      </c>
    </row>
    <row r="26" spans="1:13" ht="15" customHeight="1" x14ac:dyDescent="0.2">
      <c r="A26" s="104">
        <v>22</v>
      </c>
      <c r="B26" s="543">
        <v>45.666832919999997</v>
      </c>
      <c r="C26" s="654">
        <v>0.4566683292</v>
      </c>
      <c r="F26" s="88" t="str">
        <f>'G-1 All Habitats'!B25</f>
        <v>Grassland - Upland hay meadows</v>
      </c>
      <c r="G26" s="543">
        <v>20</v>
      </c>
      <c r="H26" s="543">
        <v>18</v>
      </c>
      <c r="I26" s="543">
        <v>15</v>
      </c>
      <c r="J26" s="543">
        <v>12</v>
      </c>
      <c r="K26" s="543">
        <v>10</v>
      </c>
      <c r="L26" s="543" t="s">
        <v>940</v>
      </c>
      <c r="M26" s="543" t="s">
        <v>940</v>
      </c>
    </row>
    <row r="27" spans="1:13" x14ac:dyDescent="0.2">
      <c r="A27" s="104">
        <v>23</v>
      </c>
      <c r="B27" s="543">
        <v>44.068493770000003</v>
      </c>
      <c r="C27" s="654">
        <v>0.44068493770000006</v>
      </c>
      <c r="F27" s="88" t="str">
        <f>'G-1 All Habitats'!B26</f>
        <v>Heathland and shrub - Blackthorn scrub</v>
      </c>
      <c r="G27" s="543">
        <v>10</v>
      </c>
      <c r="H27" s="543">
        <v>7</v>
      </c>
      <c r="I27" s="543">
        <v>5</v>
      </c>
      <c r="J27" s="543">
        <v>3</v>
      </c>
      <c r="K27" s="543">
        <v>1</v>
      </c>
      <c r="L27" s="543" t="s">
        <v>940</v>
      </c>
      <c r="M27" s="543" t="s">
        <v>940</v>
      </c>
    </row>
    <row r="28" spans="1:13" x14ac:dyDescent="0.2">
      <c r="A28" s="104">
        <v>24</v>
      </c>
      <c r="B28" s="543">
        <v>42.52609649</v>
      </c>
      <c r="C28" s="654">
        <v>0.42526096489999998</v>
      </c>
      <c r="F28" s="88" t="str">
        <f>'G-1 All Habitats'!B27</f>
        <v>Heathland and shrub - Bramble scrub</v>
      </c>
      <c r="G28" s="543" t="s">
        <v>940</v>
      </c>
      <c r="H28" s="543" t="s">
        <v>940</v>
      </c>
      <c r="I28" s="543" t="s">
        <v>940</v>
      </c>
      <c r="J28" s="543" t="s">
        <v>940</v>
      </c>
      <c r="K28" s="543" t="s">
        <v>940</v>
      </c>
      <c r="L28" s="543">
        <v>1</v>
      </c>
      <c r="M28" s="543" t="s">
        <v>940</v>
      </c>
    </row>
    <row r="29" spans="1:13" x14ac:dyDescent="0.2">
      <c r="A29" s="104">
        <v>25</v>
      </c>
      <c r="B29" s="543">
        <v>41.037683110000003</v>
      </c>
      <c r="C29" s="654">
        <v>0.41037683110000001</v>
      </c>
      <c r="F29" s="88" t="str">
        <f>'G-1 All Habitats'!B28</f>
        <v>Heathland and shrub - Gorse scrub</v>
      </c>
      <c r="G29" s="543">
        <v>10</v>
      </c>
      <c r="H29" s="543">
        <v>7</v>
      </c>
      <c r="I29" s="543">
        <v>5</v>
      </c>
      <c r="J29" s="543">
        <v>3</v>
      </c>
      <c r="K29" s="543">
        <v>1</v>
      </c>
      <c r="L29" s="543" t="s">
        <v>940</v>
      </c>
      <c r="M29" s="543" t="s">
        <v>940</v>
      </c>
    </row>
    <row r="30" spans="1:13" x14ac:dyDescent="0.2">
      <c r="A30" s="104">
        <v>26</v>
      </c>
      <c r="B30" s="543">
        <v>39.601364199999999</v>
      </c>
      <c r="C30" s="654">
        <v>0.396013642</v>
      </c>
      <c r="F30" s="88" t="str">
        <f>'G-1 All Habitats'!B29</f>
        <v>Heathland and shrub - Hawthorn scrub</v>
      </c>
      <c r="G30" s="543">
        <v>10</v>
      </c>
      <c r="H30" s="543">
        <v>7</v>
      </c>
      <c r="I30" s="543">
        <v>5</v>
      </c>
      <c r="J30" s="543">
        <v>3</v>
      </c>
      <c r="K30" s="543">
        <v>1</v>
      </c>
      <c r="L30" s="543" t="s">
        <v>940</v>
      </c>
      <c r="M30" s="543" t="s">
        <v>940</v>
      </c>
    </row>
    <row r="31" spans="1:13" x14ac:dyDescent="0.2">
      <c r="A31" s="104">
        <v>27</v>
      </c>
      <c r="B31" s="543">
        <v>38.215316459999997</v>
      </c>
      <c r="C31" s="654">
        <v>0.38215316459999998</v>
      </c>
      <c r="F31" s="88" t="str">
        <f>'G-1 All Habitats'!B30</f>
        <v>Heathland and shrub - Hazel scrub</v>
      </c>
      <c r="G31" s="543">
        <v>15</v>
      </c>
      <c r="H31" s="543">
        <v>12</v>
      </c>
      <c r="I31" s="543">
        <v>10</v>
      </c>
      <c r="J31" s="543">
        <v>7</v>
      </c>
      <c r="K31" s="543">
        <v>5</v>
      </c>
      <c r="L31" s="543" t="s">
        <v>940</v>
      </c>
      <c r="M31" s="543" t="s">
        <v>940</v>
      </c>
    </row>
    <row r="32" spans="1:13" x14ac:dyDescent="0.2">
      <c r="A32" s="104">
        <v>28</v>
      </c>
      <c r="B32" s="543">
        <v>36.877780379999997</v>
      </c>
      <c r="C32" s="654">
        <v>0.36877780379999997</v>
      </c>
      <c r="F32" s="88" t="str">
        <f>'G-1 All Habitats'!B31</f>
        <v>Heathland and shrub - Lowland Heathland</v>
      </c>
      <c r="G32" s="543" t="s">
        <v>941</v>
      </c>
      <c r="H32" s="543">
        <v>25</v>
      </c>
      <c r="I32" s="543">
        <v>20</v>
      </c>
      <c r="J32" s="543">
        <v>15</v>
      </c>
      <c r="K32" s="543">
        <v>10</v>
      </c>
      <c r="L32" s="543" t="s">
        <v>940</v>
      </c>
      <c r="M32" s="543" t="s">
        <v>940</v>
      </c>
    </row>
    <row r="33" spans="1:13" x14ac:dyDescent="0.2">
      <c r="A33" s="104">
        <v>29</v>
      </c>
      <c r="B33" s="543">
        <v>35.587058069999998</v>
      </c>
      <c r="C33" s="654">
        <v>0.35587058069999999</v>
      </c>
      <c r="F33" s="88" t="str">
        <f>'G-1 All Habitats'!B32</f>
        <v>Heathland and shrub - Mixed scrub</v>
      </c>
      <c r="G33" s="543">
        <v>10</v>
      </c>
      <c r="H33" s="543">
        <v>7</v>
      </c>
      <c r="I33" s="543">
        <v>5</v>
      </c>
      <c r="J33" s="543">
        <v>3</v>
      </c>
      <c r="K33" s="543">
        <v>1</v>
      </c>
      <c r="L33" s="543" t="s">
        <v>940</v>
      </c>
      <c r="M33" s="543" t="s">
        <v>940</v>
      </c>
    </row>
    <row r="34" spans="1:13" x14ac:dyDescent="0.2">
      <c r="A34" s="104">
        <v>30</v>
      </c>
      <c r="B34" s="543">
        <v>34.34151104</v>
      </c>
      <c r="C34" s="654">
        <v>0.3434151104</v>
      </c>
      <c r="F34" s="88" t="str">
        <f>'G-1 All Habitats'!B33</f>
        <v>Heathland and shrub - Mountain heaths and willow scrub</v>
      </c>
      <c r="G34" s="543" t="s">
        <v>941</v>
      </c>
      <c r="H34" s="543" t="s">
        <v>941</v>
      </c>
      <c r="I34" s="543">
        <v>25</v>
      </c>
      <c r="J34" s="543">
        <v>23</v>
      </c>
      <c r="K34" s="543">
        <v>15</v>
      </c>
      <c r="L34" s="543" t="s">
        <v>940</v>
      </c>
      <c r="M34" s="543" t="s">
        <v>940</v>
      </c>
    </row>
    <row r="35" spans="1:13" x14ac:dyDescent="0.2">
      <c r="A35" s="104">
        <v>31</v>
      </c>
      <c r="B35" s="543">
        <v>33.139558149999999</v>
      </c>
      <c r="C35" s="654">
        <v>0.33139558149999998</v>
      </c>
      <c r="F35" s="88" t="str">
        <f>'G-1 All Habitats'!B34</f>
        <v>Heathland and shrub - Rhododendron scrub</v>
      </c>
      <c r="G35" s="543" t="s">
        <v>940</v>
      </c>
      <c r="H35" s="543" t="s">
        <v>940</v>
      </c>
      <c r="I35" s="543" t="s">
        <v>940</v>
      </c>
      <c r="J35" s="543" t="s">
        <v>940</v>
      </c>
      <c r="K35" s="543" t="s">
        <v>940</v>
      </c>
      <c r="L35" s="543">
        <v>1</v>
      </c>
      <c r="M35" s="543" t="s">
        <v>940</v>
      </c>
    </row>
    <row r="36" spans="1:13" x14ac:dyDescent="0.2">
      <c r="A36" s="104" t="s">
        <v>941</v>
      </c>
      <c r="B36" s="593">
        <v>31.979673609999999</v>
      </c>
      <c r="C36" s="654">
        <v>0.31979673609999998</v>
      </c>
      <c r="F36" s="88" t="str">
        <f>'G-1 All Habitats'!B35</f>
        <v>Heathland and shrub - Sea buckthorn scrub (Annex 1)</v>
      </c>
      <c r="G36" s="543">
        <v>10</v>
      </c>
      <c r="H36" s="543">
        <v>7</v>
      </c>
      <c r="I36" s="543">
        <v>5</v>
      </c>
      <c r="J36" s="543">
        <v>3</v>
      </c>
      <c r="K36" s="543">
        <v>1</v>
      </c>
      <c r="L36" s="543" t="s">
        <v>940</v>
      </c>
      <c r="M36" s="543" t="s">
        <v>940</v>
      </c>
    </row>
    <row r="37" spans="1:13" x14ac:dyDescent="0.2">
      <c r="A37" s="283" t="s">
        <v>940</v>
      </c>
      <c r="B37" s="655" t="s">
        <v>6</v>
      </c>
      <c r="C37" s="655" t="s">
        <v>6</v>
      </c>
      <c r="F37" s="88" t="str">
        <f>'G-1 All Habitats'!B36</f>
        <v>Heathland and shrub - Sea buckthorn scrub (other)</v>
      </c>
      <c r="G37" s="543" t="s">
        <v>940</v>
      </c>
      <c r="H37" s="543" t="s">
        <v>940</v>
      </c>
      <c r="I37" s="543" t="s">
        <v>940</v>
      </c>
      <c r="J37" s="543" t="s">
        <v>940</v>
      </c>
      <c r="K37" s="543" t="s">
        <v>940</v>
      </c>
      <c r="L37" s="543">
        <v>1</v>
      </c>
      <c r="M37" s="543" t="s">
        <v>940</v>
      </c>
    </row>
    <row r="38" spans="1:13" x14ac:dyDescent="0.2">
      <c r="A38" s="42"/>
      <c r="B38" s="42"/>
      <c r="C38" s="42"/>
      <c r="F38" s="88" t="str">
        <f>'G-1 All Habitats'!B37</f>
        <v>Heathland and shrub - Upland Heathland</v>
      </c>
      <c r="G38" s="543">
        <v>30</v>
      </c>
      <c r="H38" s="543">
        <v>25</v>
      </c>
      <c r="I38" s="543">
        <v>20</v>
      </c>
      <c r="J38" s="543">
        <v>15</v>
      </c>
      <c r="K38" s="543">
        <v>10</v>
      </c>
      <c r="L38" s="543" t="s">
        <v>940</v>
      </c>
      <c r="M38" s="543" t="s">
        <v>940</v>
      </c>
    </row>
    <row r="39" spans="1:13" ht="57" x14ac:dyDescent="0.2">
      <c r="A39" s="284" t="s">
        <v>942</v>
      </c>
      <c r="B39" s="42"/>
      <c r="C39" s="42"/>
      <c r="F39" s="88" t="str">
        <f>'G-1 All Habitats'!B38</f>
        <v>Lakes - Aquifer fed naturally fluctuating water bodies</v>
      </c>
      <c r="G39" s="543">
        <v>30</v>
      </c>
      <c r="H39" s="543">
        <v>20</v>
      </c>
      <c r="I39" s="543">
        <v>15</v>
      </c>
      <c r="J39" s="543">
        <v>10</v>
      </c>
      <c r="K39" s="543">
        <v>1</v>
      </c>
      <c r="L39" s="543" t="s">
        <v>940</v>
      </c>
      <c r="M39" s="543" t="s">
        <v>940</v>
      </c>
    </row>
    <row r="40" spans="1:13" x14ac:dyDescent="0.2">
      <c r="A40" s="103" t="s">
        <v>937</v>
      </c>
      <c r="B40" s="42"/>
      <c r="C40" s="42"/>
      <c r="F40" s="88" t="str">
        <f>'G-1 All Habitats'!B40</f>
        <v>Lakes - High alkalinity lakes</v>
      </c>
      <c r="G40" s="543">
        <v>30</v>
      </c>
      <c r="H40" s="543">
        <v>20</v>
      </c>
      <c r="I40" s="543">
        <v>10</v>
      </c>
      <c r="J40" s="543">
        <v>7</v>
      </c>
      <c r="K40" s="543">
        <v>5</v>
      </c>
      <c r="L40" s="543" t="s">
        <v>940</v>
      </c>
      <c r="M40" s="543" t="s">
        <v>940</v>
      </c>
    </row>
    <row r="41" spans="1:13" x14ac:dyDescent="0.2">
      <c r="A41" s="543">
        <v>0</v>
      </c>
      <c r="B41" s="42"/>
      <c r="C41" s="42"/>
      <c r="F41" s="88" t="str">
        <f>'G-1 All Habitats'!B41</f>
        <v>Lakes - Low alkalinity lakes</v>
      </c>
      <c r="G41" s="543">
        <v>30</v>
      </c>
      <c r="H41" s="543">
        <v>20</v>
      </c>
      <c r="I41" s="543">
        <v>10</v>
      </c>
      <c r="J41" s="543">
        <v>7</v>
      </c>
      <c r="K41" s="543">
        <v>5</v>
      </c>
      <c r="L41" s="543" t="s">
        <v>940</v>
      </c>
      <c r="M41" s="543" t="s">
        <v>940</v>
      </c>
    </row>
    <row r="42" spans="1:13" x14ac:dyDescent="0.2">
      <c r="A42" s="543">
        <v>1</v>
      </c>
      <c r="B42" s="42"/>
      <c r="C42" s="42"/>
      <c r="F42" s="88" t="str">
        <f>'G-1 All Habitats'!B42</f>
        <v>Lakes - Marl Lakes</v>
      </c>
      <c r="G42" s="543">
        <v>30</v>
      </c>
      <c r="H42" s="543">
        <v>20</v>
      </c>
      <c r="I42" s="543">
        <v>10</v>
      </c>
      <c r="J42" s="543">
        <v>7</v>
      </c>
      <c r="K42" s="543">
        <v>5</v>
      </c>
      <c r="L42" s="543" t="s">
        <v>940</v>
      </c>
      <c r="M42" s="543" t="s">
        <v>940</v>
      </c>
    </row>
    <row r="43" spans="1:13" x14ac:dyDescent="0.2">
      <c r="A43" s="543">
        <v>2</v>
      </c>
      <c r="B43" s="42"/>
      <c r="C43" s="42"/>
      <c r="F43" s="88" t="str">
        <f>'G-1 All Habitats'!B43</f>
        <v>Lakes - Moderate alkalinity lakes</v>
      </c>
      <c r="G43" s="543">
        <v>30</v>
      </c>
      <c r="H43" s="543">
        <v>20</v>
      </c>
      <c r="I43" s="543">
        <v>10</v>
      </c>
      <c r="J43" s="543">
        <v>7</v>
      </c>
      <c r="K43" s="543">
        <v>5</v>
      </c>
      <c r="L43" s="543" t="s">
        <v>940</v>
      </c>
      <c r="M43" s="543" t="s">
        <v>940</v>
      </c>
    </row>
    <row r="44" spans="1:13" x14ac:dyDescent="0.2">
      <c r="A44" s="543">
        <v>3</v>
      </c>
      <c r="B44" s="42"/>
      <c r="C44" s="42"/>
      <c r="F44" s="88" t="str">
        <f>'G-1 All Habitats'!B44</f>
        <v>Lakes - Peat Lakes</v>
      </c>
      <c r="G44" s="543">
        <v>30</v>
      </c>
      <c r="H44" s="543">
        <v>20</v>
      </c>
      <c r="I44" s="543">
        <v>10</v>
      </c>
      <c r="J44" s="543">
        <v>7</v>
      </c>
      <c r="K44" s="543">
        <v>5</v>
      </c>
      <c r="L44" s="543" t="s">
        <v>940</v>
      </c>
      <c r="M44" s="543" t="s">
        <v>940</v>
      </c>
    </row>
    <row r="45" spans="1:13" x14ac:dyDescent="0.2">
      <c r="A45" s="543">
        <v>4</v>
      </c>
      <c r="B45" s="42"/>
      <c r="C45" s="42"/>
      <c r="F45" s="88" t="str">
        <f>'G-1 All Habitats'!B45</f>
        <v>Lakes - Ponds (Priority Habitat)</v>
      </c>
      <c r="G45" s="543">
        <v>5</v>
      </c>
      <c r="H45" s="543">
        <v>4</v>
      </c>
      <c r="I45" s="543">
        <v>3</v>
      </c>
      <c r="J45" s="543">
        <v>2</v>
      </c>
      <c r="K45" s="543">
        <v>1</v>
      </c>
      <c r="L45" s="543" t="s">
        <v>940</v>
      </c>
      <c r="M45" s="543" t="s">
        <v>940</v>
      </c>
    </row>
    <row r="46" spans="1:13" x14ac:dyDescent="0.2">
      <c r="A46" s="543">
        <v>5</v>
      </c>
      <c r="B46" s="42"/>
      <c r="C46" s="42"/>
      <c r="F46" s="88" t="str">
        <f>'G-1 All Habitats'!B46</f>
        <v>Lakes - Ponds (Non- Priority Habitat)</v>
      </c>
      <c r="G46" s="543">
        <v>5</v>
      </c>
      <c r="H46" s="543">
        <v>4</v>
      </c>
      <c r="I46" s="543">
        <v>3</v>
      </c>
      <c r="J46" s="543">
        <v>2</v>
      </c>
      <c r="K46" s="543">
        <v>1</v>
      </c>
      <c r="L46" s="543" t="s">
        <v>940</v>
      </c>
      <c r="M46" s="543" t="s">
        <v>940</v>
      </c>
    </row>
    <row r="47" spans="1:13" x14ac:dyDescent="0.2">
      <c r="A47" s="543">
        <v>6</v>
      </c>
      <c r="B47" s="42"/>
      <c r="C47" s="42"/>
      <c r="F47" s="88" t="str">
        <f>'G-1 All Habitats'!B47</f>
        <v>Lakes - Reservoirs</v>
      </c>
      <c r="G47" s="543">
        <v>10</v>
      </c>
      <c r="H47" s="543">
        <v>7</v>
      </c>
      <c r="I47" s="543">
        <v>5</v>
      </c>
      <c r="J47" s="543">
        <v>3</v>
      </c>
      <c r="K47" s="543">
        <v>1</v>
      </c>
      <c r="L47" s="543" t="s">
        <v>940</v>
      </c>
      <c r="M47" s="543" t="s">
        <v>940</v>
      </c>
    </row>
    <row r="48" spans="1:13" x14ac:dyDescent="0.2">
      <c r="A48" s="543">
        <v>7</v>
      </c>
      <c r="B48" s="42"/>
      <c r="C48" s="42"/>
      <c r="F48" s="88" t="str">
        <f>'G-1 All Habitats'!B48</f>
        <v>Lakes - Temporary lakes, ponds and pools</v>
      </c>
      <c r="G48" s="543">
        <v>5</v>
      </c>
      <c r="H48" s="543">
        <v>4</v>
      </c>
      <c r="I48" s="543">
        <v>3</v>
      </c>
      <c r="J48" s="543">
        <v>2</v>
      </c>
      <c r="K48" s="543">
        <v>1</v>
      </c>
      <c r="L48" s="543" t="s">
        <v>940</v>
      </c>
      <c r="M48" s="543" t="s">
        <v>940</v>
      </c>
    </row>
    <row r="49" spans="1:13" x14ac:dyDescent="0.2">
      <c r="A49" s="543">
        <v>8</v>
      </c>
      <c r="B49" s="42"/>
      <c r="C49" s="42"/>
      <c r="F49" s="88" t="str">
        <f>'G-1 All Habitats'!B49</f>
        <v>Sparsely vegetated land - Calaminarian grasslands</v>
      </c>
      <c r="G49" s="543">
        <v>10</v>
      </c>
      <c r="H49" s="543">
        <v>7</v>
      </c>
      <c r="I49" s="543">
        <v>5</v>
      </c>
      <c r="J49" s="543">
        <v>3</v>
      </c>
      <c r="K49" s="543">
        <v>2</v>
      </c>
      <c r="L49" s="543" t="s">
        <v>940</v>
      </c>
      <c r="M49" s="543" t="s">
        <v>940</v>
      </c>
    </row>
    <row r="50" spans="1:13" x14ac:dyDescent="0.2">
      <c r="A50" s="543">
        <v>9</v>
      </c>
      <c r="B50" s="42"/>
      <c r="C50" s="42"/>
      <c r="F50" s="88" t="str">
        <f>'G-1 All Habitats'!B50</f>
        <v>Sparsely vegetated land - Coastal sand dunes</v>
      </c>
      <c r="G50" s="543">
        <v>20</v>
      </c>
      <c r="H50" s="543">
        <v>15</v>
      </c>
      <c r="I50" s="543">
        <v>10</v>
      </c>
      <c r="J50" s="543">
        <v>7</v>
      </c>
      <c r="K50" s="543">
        <v>5</v>
      </c>
      <c r="L50" s="543" t="s">
        <v>940</v>
      </c>
      <c r="M50" s="543" t="s">
        <v>940</v>
      </c>
    </row>
    <row r="51" spans="1:13" x14ac:dyDescent="0.2">
      <c r="A51" s="543">
        <v>10</v>
      </c>
      <c r="B51" s="42"/>
      <c r="C51" s="42"/>
      <c r="F51" s="88" t="str">
        <f>'G-1 All Habitats'!B51</f>
        <v>Sparsely vegetated land - Coastal vegetated shingle</v>
      </c>
      <c r="G51" s="543">
        <v>20</v>
      </c>
      <c r="H51" s="543">
        <v>15</v>
      </c>
      <c r="I51" s="543">
        <v>10</v>
      </c>
      <c r="J51" s="543">
        <v>7</v>
      </c>
      <c r="K51" s="543">
        <v>5</v>
      </c>
      <c r="L51" s="543" t="s">
        <v>940</v>
      </c>
      <c r="M51" s="543" t="s">
        <v>940</v>
      </c>
    </row>
    <row r="52" spans="1:13" x14ac:dyDescent="0.2">
      <c r="A52" s="543">
        <v>11</v>
      </c>
      <c r="B52" s="42"/>
      <c r="C52" s="42"/>
      <c r="F52" s="88" t="str">
        <f>'G-1 All Habitats'!B52</f>
        <v>Sparsely vegetated land - Ruderal/Ephemeral</v>
      </c>
      <c r="G52" s="543">
        <v>5</v>
      </c>
      <c r="H52" s="543">
        <v>4</v>
      </c>
      <c r="I52" s="543">
        <v>3</v>
      </c>
      <c r="J52" s="543">
        <v>2</v>
      </c>
      <c r="K52" s="543">
        <v>1</v>
      </c>
      <c r="L52" s="543" t="s">
        <v>940</v>
      </c>
      <c r="M52" s="543" t="s">
        <v>940</v>
      </c>
    </row>
    <row r="53" spans="1:13" x14ac:dyDescent="0.2">
      <c r="A53" s="543">
        <v>12</v>
      </c>
      <c r="B53" s="42"/>
      <c r="C53" s="42"/>
      <c r="F53" s="88" t="str">
        <f>'G-1 All Habitats'!B53</f>
        <v>Sparsely vegetated land - Inland rock outcrop and scree habitats</v>
      </c>
      <c r="G53" s="543" t="s">
        <v>941</v>
      </c>
      <c r="H53" s="543">
        <v>25</v>
      </c>
      <c r="I53" s="543">
        <v>20</v>
      </c>
      <c r="J53" s="543">
        <v>15</v>
      </c>
      <c r="K53" s="543">
        <v>10</v>
      </c>
      <c r="L53" s="543" t="s">
        <v>940</v>
      </c>
      <c r="M53" s="543" t="s">
        <v>940</v>
      </c>
    </row>
    <row r="54" spans="1:13" x14ac:dyDescent="0.2">
      <c r="A54" s="543">
        <v>13</v>
      </c>
      <c r="B54" s="42"/>
      <c r="C54" s="42"/>
      <c r="F54" s="88" t="str">
        <f>'G-1 All Habitats'!B54</f>
        <v>Sparsely vegetated land - Limestone pavement</v>
      </c>
      <c r="G54" s="543" t="s">
        <v>941</v>
      </c>
      <c r="H54" s="543" t="s">
        <v>941</v>
      </c>
      <c r="I54" s="543" t="s">
        <v>941</v>
      </c>
      <c r="J54" s="543" t="s">
        <v>941</v>
      </c>
      <c r="K54" s="543" t="s">
        <v>941</v>
      </c>
      <c r="L54" s="543" t="s">
        <v>940</v>
      </c>
      <c r="M54" s="543" t="s">
        <v>940</v>
      </c>
    </row>
    <row r="55" spans="1:13" x14ac:dyDescent="0.2">
      <c r="A55" s="543">
        <v>14</v>
      </c>
      <c r="B55" s="42"/>
      <c r="C55" s="42"/>
      <c r="F55" s="88" t="str">
        <f>'G-1 All Habitats'!B55</f>
        <v>Sparsely vegetated land - Maritime cliff and slopes</v>
      </c>
      <c r="G55" s="543">
        <v>20</v>
      </c>
      <c r="H55" s="543">
        <v>15</v>
      </c>
      <c r="I55" s="543">
        <v>10</v>
      </c>
      <c r="J55" s="543">
        <v>7</v>
      </c>
      <c r="K55" s="543">
        <v>5</v>
      </c>
      <c r="L55" s="543" t="s">
        <v>940</v>
      </c>
      <c r="M55" s="543" t="s">
        <v>940</v>
      </c>
    </row>
    <row r="56" spans="1:13" x14ac:dyDescent="0.2">
      <c r="A56" s="543">
        <v>15</v>
      </c>
      <c r="B56" s="42"/>
      <c r="C56" s="42"/>
      <c r="F56" s="88" t="str">
        <f>'G-1 All Habitats'!B56</f>
        <v>Sparsely vegetated land - Other inland rock and scree</v>
      </c>
      <c r="G56" s="543">
        <v>20</v>
      </c>
      <c r="H56" s="543">
        <v>15</v>
      </c>
      <c r="I56" s="543">
        <v>10</v>
      </c>
      <c r="J56" s="543">
        <v>7</v>
      </c>
      <c r="K56" s="543">
        <v>5</v>
      </c>
      <c r="L56" s="543" t="s">
        <v>940</v>
      </c>
      <c r="M56" s="543" t="s">
        <v>940</v>
      </c>
    </row>
    <row r="57" spans="1:13" x14ac:dyDescent="0.2">
      <c r="A57" s="543">
        <v>16</v>
      </c>
      <c r="B57" s="42"/>
      <c r="C57" s="42"/>
      <c r="F57" s="88" t="str">
        <f>'G-1 All Habitats'!B57</f>
        <v>Urban - Allotments</v>
      </c>
      <c r="G57" s="543">
        <v>1</v>
      </c>
      <c r="H57" s="543">
        <v>1</v>
      </c>
      <c r="I57" s="543">
        <v>1</v>
      </c>
      <c r="J57" s="543">
        <v>1</v>
      </c>
      <c r="K57" s="543">
        <v>1</v>
      </c>
      <c r="L57" s="543" t="s">
        <v>940</v>
      </c>
      <c r="M57" s="543" t="s">
        <v>940</v>
      </c>
    </row>
    <row r="58" spans="1:13" x14ac:dyDescent="0.2">
      <c r="A58" s="543">
        <v>17</v>
      </c>
      <c r="B58" s="42"/>
      <c r="C58" s="42"/>
      <c r="F58" s="88" t="str">
        <f>'G-1 All Habitats'!B39</f>
        <v>Lakes - Ornamental lake or pond</v>
      </c>
      <c r="G58" s="543">
        <v>5</v>
      </c>
      <c r="H58" s="543">
        <v>4</v>
      </c>
      <c r="I58" s="543">
        <v>3</v>
      </c>
      <c r="J58" s="543">
        <v>2</v>
      </c>
      <c r="K58" s="543">
        <v>1</v>
      </c>
      <c r="L58" s="543" t="s">
        <v>940</v>
      </c>
      <c r="M58" s="543" t="s">
        <v>940</v>
      </c>
    </row>
    <row r="59" spans="1:13" x14ac:dyDescent="0.2">
      <c r="A59" s="543">
        <v>18</v>
      </c>
      <c r="B59" s="42"/>
      <c r="C59" s="42"/>
      <c r="F59" s="88" t="str">
        <f>'G-1 All Habitats'!B58</f>
        <v>Urban - Artificial unvegetated, unsealed surface</v>
      </c>
      <c r="G59" s="543" t="s">
        <v>940</v>
      </c>
      <c r="H59" s="543" t="s">
        <v>940</v>
      </c>
      <c r="I59" s="543" t="s">
        <v>940</v>
      </c>
      <c r="J59" s="543" t="s">
        <v>940</v>
      </c>
      <c r="K59" s="543" t="s">
        <v>940</v>
      </c>
      <c r="L59" s="543" t="s">
        <v>940</v>
      </c>
      <c r="M59" s="543">
        <v>0</v>
      </c>
    </row>
    <row r="60" spans="1:13" x14ac:dyDescent="0.2">
      <c r="A60" s="543">
        <v>19</v>
      </c>
      <c r="B60" s="42"/>
      <c r="C60" s="42"/>
      <c r="F60" s="88" t="str">
        <f>'G-1 All Habitats'!B59</f>
        <v>Urban - Bioswale</v>
      </c>
      <c r="G60" s="543">
        <v>3</v>
      </c>
      <c r="H60" s="543">
        <v>2</v>
      </c>
      <c r="I60" s="543">
        <v>1</v>
      </c>
      <c r="J60" s="543">
        <v>1</v>
      </c>
      <c r="K60" s="543">
        <v>1</v>
      </c>
      <c r="L60" s="543" t="s">
        <v>940</v>
      </c>
      <c r="M60" s="543" t="s">
        <v>940</v>
      </c>
    </row>
    <row r="61" spans="1:13" x14ac:dyDescent="0.2">
      <c r="A61" s="543">
        <v>20</v>
      </c>
      <c r="B61" s="42"/>
      <c r="C61" s="42"/>
      <c r="F61" s="88" t="str">
        <f>'G-1 All Habitats'!B60</f>
        <v>Urban - Intensive green roof</v>
      </c>
      <c r="G61" s="543">
        <v>5</v>
      </c>
      <c r="H61" s="543">
        <v>4</v>
      </c>
      <c r="I61" s="543">
        <v>3</v>
      </c>
      <c r="J61" s="543">
        <v>2</v>
      </c>
      <c r="K61" s="543">
        <v>1</v>
      </c>
      <c r="L61" s="543" t="s">
        <v>940</v>
      </c>
      <c r="M61" s="543" t="s">
        <v>940</v>
      </c>
    </row>
    <row r="62" spans="1:13" x14ac:dyDescent="0.2">
      <c r="A62" s="543">
        <v>21</v>
      </c>
      <c r="B62" s="42"/>
      <c r="C62" s="42"/>
      <c r="F62" s="88" t="str">
        <f>'G-1 All Habitats'!B61</f>
        <v>Urban - Built linear features</v>
      </c>
      <c r="G62" s="543" t="s">
        <v>940</v>
      </c>
      <c r="H62" s="543" t="s">
        <v>940</v>
      </c>
      <c r="I62" s="543" t="s">
        <v>940</v>
      </c>
      <c r="J62" s="543" t="s">
        <v>940</v>
      </c>
      <c r="K62" s="543" t="s">
        <v>940</v>
      </c>
      <c r="L62" s="543" t="s">
        <v>940</v>
      </c>
      <c r="M62" s="543">
        <v>0</v>
      </c>
    </row>
    <row r="63" spans="1:13" x14ac:dyDescent="0.2">
      <c r="A63" s="543">
        <v>22</v>
      </c>
      <c r="B63" s="42"/>
      <c r="C63" s="42"/>
      <c r="F63" s="88" t="str">
        <f>'G-1 All Habitats'!B62</f>
        <v>Urban - Cemeteries and churchyards</v>
      </c>
      <c r="G63" s="543">
        <v>20</v>
      </c>
      <c r="H63" s="543">
        <v>17</v>
      </c>
      <c r="I63" s="543">
        <v>15</v>
      </c>
      <c r="J63" s="543">
        <v>12</v>
      </c>
      <c r="K63" s="543">
        <v>10</v>
      </c>
      <c r="L63" s="543" t="s">
        <v>940</v>
      </c>
      <c r="M63" s="543" t="s">
        <v>940</v>
      </c>
    </row>
    <row r="64" spans="1:13" x14ac:dyDescent="0.2">
      <c r="A64" s="543">
        <v>23</v>
      </c>
      <c r="B64" s="42"/>
      <c r="C64" s="42"/>
      <c r="F64" s="88" t="str">
        <f>'G-1 All Habitats'!B63</f>
        <v>Urban - Developed land; sealed surface</v>
      </c>
      <c r="G64" s="543" t="s">
        <v>940</v>
      </c>
      <c r="H64" s="543" t="s">
        <v>940</v>
      </c>
      <c r="I64" s="543" t="s">
        <v>940</v>
      </c>
      <c r="J64" s="543" t="s">
        <v>940</v>
      </c>
      <c r="K64" s="543" t="s">
        <v>940</v>
      </c>
      <c r="L64" s="543" t="s">
        <v>940</v>
      </c>
      <c r="M64" s="543">
        <v>0</v>
      </c>
    </row>
    <row r="65" spans="1:13" x14ac:dyDescent="0.2">
      <c r="A65" s="543">
        <v>24</v>
      </c>
      <c r="B65" s="42"/>
      <c r="C65" s="42"/>
      <c r="F65" s="88" t="str">
        <f>'G-1 All Habitats'!B64</f>
        <v>Urban - Other green roof</v>
      </c>
      <c r="G65" s="543" t="s">
        <v>940</v>
      </c>
      <c r="H65" s="543" t="s">
        <v>940</v>
      </c>
      <c r="I65" s="543" t="s">
        <v>940</v>
      </c>
      <c r="J65" s="543" t="s">
        <v>940</v>
      </c>
      <c r="K65" s="543" t="s">
        <v>940</v>
      </c>
      <c r="L65" s="543">
        <v>1</v>
      </c>
      <c r="M65" s="543" t="s">
        <v>940</v>
      </c>
    </row>
    <row r="66" spans="1:13" x14ac:dyDescent="0.2">
      <c r="A66" s="543">
        <v>25</v>
      </c>
      <c r="B66" s="42"/>
      <c r="C66" s="42"/>
      <c r="F66" s="88" t="str">
        <f>'G-1 All Habitats'!B65</f>
        <v>Urban - Facade-bound green wall</v>
      </c>
      <c r="G66" s="543">
        <v>5</v>
      </c>
      <c r="H66" s="543">
        <v>4</v>
      </c>
      <c r="I66" s="543">
        <v>3</v>
      </c>
      <c r="J66" s="543">
        <v>2</v>
      </c>
      <c r="K66" s="543">
        <v>1</v>
      </c>
      <c r="L66" s="543" t="s">
        <v>940</v>
      </c>
      <c r="M66" s="543" t="s">
        <v>940</v>
      </c>
    </row>
    <row r="67" spans="1:13" x14ac:dyDescent="0.2">
      <c r="A67" s="543">
        <v>26</v>
      </c>
      <c r="B67" s="42"/>
      <c r="C67" s="42"/>
      <c r="F67" s="88" t="str">
        <f>'G-1 All Habitats'!B66</f>
        <v>Urban - Ground based green wall</v>
      </c>
      <c r="G67" s="543">
        <v>5</v>
      </c>
      <c r="H67" s="543">
        <v>4</v>
      </c>
      <c r="I67" s="543">
        <v>3</v>
      </c>
      <c r="J67" s="543">
        <v>2</v>
      </c>
      <c r="K67" s="543">
        <v>1</v>
      </c>
      <c r="L67" s="543" t="s">
        <v>940</v>
      </c>
      <c r="M67" s="543" t="s">
        <v>940</v>
      </c>
    </row>
    <row r="68" spans="1:13" x14ac:dyDescent="0.2">
      <c r="A68" s="543">
        <v>27</v>
      </c>
      <c r="B68" s="42"/>
      <c r="C68" s="42"/>
      <c r="F68" s="88" t="str">
        <f>'G-1 All Habitats'!B67</f>
        <v>Urban - Ground level planters</v>
      </c>
      <c r="G68" s="543" t="s">
        <v>940</v>
      </c>
      <c r="H68" s="543" t="s">
        <v>940</v>
      </c>
      <c r="I68" s="543" t="s">
        <v>940</v>
      </c>
      <c r="J68" s="543" t="s">
        <v>940</v>
      </c>
      <c r="K68" s="543" t="s">
        <v>940</v>
      </c>
      <c r="L68" s="543">
        <v>1</v>
      </c>
      <c r="M68" s="543" t="s">
        <v>940</v>
      </c>
    </row>
    <row r="69" spans="1:13" x14ac:dyDescent="0.2">
      <c r="A69" s="543">
        <v>28</v>
      </c>
      <c r="B69" s="42"/>
      <c r="C69" s="42"/>
      <c r="F69" s="88" t="str">
        <f>'G-1 All Habitats'!B68</f>
        <v>Urban - Biodiverse green roof</v>
      </c>
      <c r="G69" s="543">
        <v>10</v>
      </c>
      <c r="H69" s="543">
        <v>8</v>
      </c>
      <c r="I69" s="543">
        <v>5</v>
      </c>
      <c r="J69" s="543">
        <v>3</v>
      </c>
      <c r="K69" s="543">
        <v>1</v>
      </c>
      <c r="L69" s="543" t="s">
        <v>940</v>
      </c>
      <c r="M69" s="543" t="s">
        <v>940</v>
      </c>
    </row>
    <row r="70" spans="1:13" x14ac:dyDescent="0.2">
      <c r="A70" s="543">
        <v>29</v>
      </c>
      <c r="B70" s="42"/>
      <c r="C70" s="42"/>
      <c r="F70" s="88" t="str">
        <f>'G-1 All Habitats'!B69</f>
        <v>Urban - Introduced shrub</v>
      </c>
      <c r="G70" s="543" t="s">
        <v>940</v>
      </c>
      <c r="H70" s="543" t="s">
        <v>940</v>
      </c>
      <c r="I70" s="543" t="s">
        <v>940</v>
      </c>
      <c r="J70" s="543" t="s">
        <v>940</v>
      </c>
      <c r="K70" s="543" t="s">
        <v>940</v>
      </c>
      <c r="L70" s="543">
        <v>1</v>
      </c>
      <c r="M70" s="543" t="s">
        <v>940</v>
      </c>
    </row>
    <row r="71" spans="1:13" x14ac:dyDescent="0.2">
      <c r="A71" s="543">
        <v>30</v>
      </c>
      <c r="B71" s="42"/>
      <c r="C71" s="42"/>
      <c r="F71" s="88" t="str">
        <f>'G-1 All Habitats'!B70</f>
        <v>Urban - Open Mosaic Habitats on Previously Developed Land</v>
      </c>
      <c r="G71" s="543">
        <v>10</v>
      </c>
      <c r="H71" s="543">
        <v>7</v>
      </c>
      <c r="I71" s="543">
        <v>4</v>
      </c>
      <c r="J71" s="543">
        <v>2</v>
      </c>
      <c r="K71" s="543">
        <v>0</v>
      </c>
      <c r="L71" s="543" t="s">
        <v>940</v>
      </c>
      <c r="M71" s="543" t="s">
        <v>940</v>
      </c>
    </row>
    <row r="72" spans="1:13" x14ac:dyDescent="0.2">
      <c r="A72" s="543" t="s">
        <v>941</v>
      </c>
      <c r="B72" s="42"/>
      <c r="C72" s="42"/>
      <c r="F72" s="88" t="str">
        <f>'G-1 All Habitats'!B71</f>
        <v>Urban - Rain garden</v>
      </c>
      <c r="G72" s="543">
        <v>5</v>
      </c>
      <c r="H72" s="543">
        <v>4</v>
      </c>
      <c r="I72" s="543">
        <v>3</v>
      </c>
      <c r="J72" s="543">
        <v>2</v>
      </c>
      <c r="K72" s="543">
        <v>1</v>
      </c>
      <c r="L72" s="543" t="s">
        <v>940</v>
      </c>
      <c r="M72" s="543" t="s">
        <v>940</v>
      </c>
    </row>
    <row r="73" spans="1:13" x14ac:dyDescent="0.2">
      <c r="A73" s="42"/>
      <c r="B73" s="42"/>
      <c r="C73" s="42"/>
      <c r="F73" s="88" t="str">
        <f>'G-1 All Habitats'!B72</f>
        <v>Urban - Actively worked sand pit quarry or open cast mine</v>
      </c>
      <c r="G73" s="543" t="s">
        <v>940</v>
      </c>
      <c r="H73" s="543" t="s">
        <v>940</v>
      </c>
      <c r="I73" s="543" t="s">
        <v>940</v>
      </c>
      <c r="J73" s="543" t="s">
        <v>940</v>
      </c>
      <c r="K73" s="543" t="s">
        <v>940</v>
      </c>
      <c r="L73" s="543">
        <v>1</v>
      </c>
      <c r="M73" s="543" t="s">
        <v>940</v>
      </c>
    </row>
    <row r="74" spans="1:13" x14ac:dyDescent="0.2">
      <c r="A74" s="42"/>
      <c r="B74" s="42"/>
      <c r="C74" s="42"/>
      <c r="F74" s="88" t="str">
        <f>'G-1 All Habitats'!B73</f>
        <v>Urban - Urban Tree</v>
      </c>
      <c r="G74" s="543" t="s">
        <v>941</v>
      </c>
      <c r="H74" s="543" t="s">
        <v>941</v>
      </c>
      <c r="I74" s="543">
        <v>27</v>
      </c>
      <c r="J74" s="543">
        <v>15</v>
      </c>
      <c r="K74" s="543">
        <v>10</v>
      </c>
      <c r="L74" s="543" t="s">
        <v>940</v>
      </c>
      <c r="M74" s="543" t="s">
        <v>940</v>
      </c>
    </row>
    <row r="75" spans="1:13" x14ac:dyDescent="0.2">
      <c r="A75" s="42"/>
      <c r="B75" s="42"/>
      <c r="C75" s="42"/>
      <c r="F75" s="88" t="str">
        <f>'G-1 All Habitats'!B74</f>
        <v>Urban - Sustainable urban drainage feature</v>
      </c>
      <c r="G75" s="543">
        <v>5</v>
      </c>
      <c r="H75" s="543">
        <v>4</v>
      </c>
      <c r="I75" s="543">
        <v>3</v>
      </c>
      <c r="J75" s="543">
        <v>2</v>
      </c>
      <c r="K75" s="543">
        <v>1</v>
      </c>
      <c r="L75" s="543" t="s">
        <v>940</v>
      </c>
      <c r="M75" s="543" t="s">
        <v>940</v>
      </c>
    </row>
    <row r="76" spans="1:13" x14ac:dyDescent="0.2">
      <c r="A76" s="42"/>
      <c r="B76" s="42"/>
      <c r="C76" s="42"/>
      <c r="F76" s="88" t="str">
        <f>'G-1 All Habitats'!B75</f>
        <v>Urban - Un-vegetated garden</v>
      </c>
      <c r="G76" s="543" t="s">
        <v>940</v>
      </c>
      <c r="H76" s="543" t="s">
        <v>940</v>
      </c>
      <c r="I76" s="543" t="s">
        <v>940</v>
      </c>
      <c r="J76" s="543" t="s">
        <v>940</v>
      </c>
      <c r="K76" s="543" t="s">
        <v>940</v>
      </c>
      <c r="L76" s="543" t="s">
        <v>940</v>
      </c>
      <c r="M76" s="543">
        <v>0</v>
      </c>
    </row>
    <row r="77" spans="1:13" x14ac:dyDescent="0.2">
      <c r="A77" s="42"/>
      <c r="B77" s="42"/>
      <c r="C77" s="42"/>
      <c r="F77" s="88" t="str">
        <f>'G-1 All Habitats'!B76</f>
        <v>Urban - Vacant/derelict land/ bareground</v>
      </c>
      <c r="G77" s="543">
        <v>5</v>
      </c>
      <c r="H77" s="543">
        <v>4</v>
      </c>
      <c r="I77" s="543">
        <v>3</v>
      </c>
      <c r="J77" s="543">
        <v>2</v>
      </c>
      <c r="K77" s="543">
        <v>1</v>
      </c>
      <c r="L77" s="543" t="s">
        <v>940</v>
      </c>
      <c r="M77" s="543" t="s">
        <v>940</v>
      </c>
    </row>
    <row r="78" spans="1:13" x14ac:dyDescent="0.2">
      <c r="A78" s="42"/>
      <c r="B78" s="42"/>
      <c r="C78" s="42"/>
      <c r="F78" s="88" t="str">
        <f>'G-1 All Habitats'!B77</f>
        <v>Urban - Vegetated garden</v>
      </c>
      <c r="G78" s="543" t="s">
        <v>940</v>
      </c>
      <c r="H78" s="543" t="s">
        <v>940</v>
      </c>
      <c r="I78" s="543" t="s">
        <v>940</v>
      </c>
      <c r="J78" s="543" t="s">
        <v>940</v>
      </c>
      <c r="K78" s="543" t="s">
        <v>940</v>
      </c>
      <c r="L78" s="543">
        <v>1</v>
      </c>
      <c r="M78" s="543" t="s">
        <v>940</v>
      </c>
    </row>
    <row r="79" spans="1:13" x14ac:dyDescent="0.2">
      <c r="A79" s="42"/>
      <c r="B79" s="42"/>
      <c r="C79" s="42"/>
      <c r="F79" s="88" t="str">
        <f>'G-1 All Habitats'!B78</f>
        <v>Wetland - Blanket bog</v>
      </c>
      <c r="G79" s="543" t="s">
        <v>941</v>
      </c>
      <c r="H79" s="543" t="s">
        <v>941</v>
      </c>
      <c r="I79" s="543" t="s">
        <v>941</v>
      </c>
      <c r="J79" s="543" t="s">
        <v>941</v>
      </c>
      <c r="K79" s="543" t="s">
        <v>941</v>
      </c>
      <c r="L79" s="543" t="s">
        <v>940</v>
      </c>
      <c r="M79" s="543" t="s">
        <v>940</v>
      </c>
    </row>
    <row r="80" spans="1:13" x14ac:dyDescent="0.2">
      <c r="A80" s="42"/>
      <c r="B80" s="42"/>
      <c r="C80" s="42"/>
      <c r="F80" s="88" t="str">
        <f>'G-1 All Habitats'!B79</f>
        <v>Wetland - Depressions on Peat substrates (H7150)</v>
      </c>
      <c r="G80" s="543" t="s">
        <v>941</v>
      </c>
      <c r="H80" s="543" t="s">
        <v>941</v>
      </c>
      <c r="I80" s="543">
        <v>30</v>
      </c>
      <c r="J80" s="543">
        <v>25</v>
      </c>
      <c r="K80" s="543">
        <v>15</v>
      </c>
      <c r="L80" s="543" t="s">
        <v>940</v>
      </c>
      <c r="M80" s="543" t="s">
        <v>940</v>
      </c>
    </row>
    <row r="81" spans="1:13" x14ac:dyDescent="0.2">
      <c r="A81" s="42"/>
      <c r="B81" s="42"/>
      <c r="C81" s="42"/>
      <c r="F81" s="88" t="str">
        <f>'G-1 All Habitats'!B80</f>
        <v>Wetland - Fens (upland and lowland)</v>
      </c>
      <c r="G81" s="543">
        <v>30</v>
      </c>
      <c r="H81" s="543">
        <v>25</v>
      </c>
      <c r="I81" s="543">
        <v>20</v>
      </c>
      <c r="J81" s="543">
        <v>15</v>
      </c>
      <c r="K81" s="543">
        <v>10</v>
      </c>
      <c r="L81" s="543" t="s">
        <v>940</v>
      </c>
      <c r="M81" s="543" t="s">
        <v>940</v>
      </c>
    </row>
    <row r="82" spans="1:13" x14ac:dyDescent="0.2">
      <c r="A82" s="42"/>
      <c r="B82" s="42"/>
      <c r="C82" s="42"/>
      <c r="F82" s="88" t="str">
        <f>'G-1 All Habitats'!B81</f>
        <v>Wetland - Lowland raised bog</v>
      </c>
      <c r="G82" s="543" t="s">
        <v>941</v>
      </c>
      <c r="H82" s="543" t="s">
        <v>941</v>
      </c>
      <c r="I82" s="543">
        <v>30</v>
      </c>
      <c r="J82" s="543">
        <v>20</v>
      </c>
      <c r="K82" s="543">
        <v>15</v>
      </c>
      <c r="L82" s="543" t="s">
        <v>940</v>
      </c>
      <c r="M82" s="543" t="s">
        <v>940</v>
      </c>
    </row>
    <row r="83" spans="1:13" x14ac:dyDescent="0.2">
      <c r="A83" s="42"/>
      <c r="B83" s="42"/>
      <c r="C83" s="42"/>
      <c r="F83" s="88" t="str">
        <f>'G-1 All Habitats'!B82</f>
        <v>Wetland - Oceanic Valley Mire[1] (D2.1)</v>
      </c>
      <c r="G83" s="543" t="s">
        <v>941</v>
      </c>
      <c r="H83" s="543" t="s">
        <v>941</v>
      </c>
      <c r="I83" s="543">
        <v>30</v>
      </c>
      <c r="J83" s="543">
        <v>20</v>
      </c>
      <c r="K83" s="543">
        <v>15</v>
      </c>
      <c r="L83" s="543" t="s">
        <v>940</v>
      </c>
      <c r="M83" s="543" t="s">
        <v>940</v>
      </c>
    </row>
    <row r="84" spans="1:13" x14ac:dyDescent="0.2">
      <c r="A84" s="42"/>
      <c r="B84" s="42"/>
      <c r="C84" s="42"/>
      <c r="F84" s="88" t="str">
        <f>'G-1 All Habitats'!B83</f>
        <v>Wetland - Purple moor grass and rush pastures</v>
      </c>
      <c r="G84" s="543">
        <v>30</v>
      </c>
      <c r="H84" s="543">
        <v>25</v>
      </c>
      <c r="I84" s="543">
        <v>20</v>
      </c>
      <c r="J84" s="543">
        <v>15</v>
      </c>
      <c r="K84" s="543">
        <v>10</v>
      </c>
      <c r="L84" s="543" t="s">
        <v>940</v>
      </c>
      <c r="M84" s="543" t="s">
        <v>940</v>
      </c>
    </row>
    <row r="85" spans="1:13" x14ac:dyDescent="0.2">
      <c r="A85" s="42"/>
      <c r="B85" s="42"/>
      <c r="C85" s="42"/>
      <c r="F85" s="88" t="str">
        <f>'G-1 All Habitats'!B84</f>
        <v>Wetland - Reedbeds</v>
      </c>
      <c r="G85" s="543">
        <v>12</v>
      </c>
      <c r="H85" s="543">
        <v>10</v>
      </c>
      <c r="I85" s="543">
        <v>7</v>
      </c>
      <c r="J85" s="543">
        <v>5</v>
      </c>
      <c r="K85" s="543">
        <v>3</v>
      </c>
      <c r="L85" s="543" t="s">
        <v>940</v>
      </c>
      <c r="M85" s="543" t="s">
        <v>940</v>
      </c>
    </row>
    <row r="86" spans="1:13" x14ac:dyDescent="0.2">
      <c r="A86" s="42"/>
      <c r="B86" s="42"/>
      <c r="C86" s="42"/>
      <c r="F86" s="88" t="str">
        <f>'G-1 All Habitats'!B85</f>
        <v>Wetland - Transition mires and quaking bogs (H7140)</v>
      </c>
      <c r="G86" s="543" t="s">
        <v>941</v>
      </c>
      <c r="H86" s="543" t="s">
        <v>941</v>
      </c>
      <c r="I86" s="543">
        <v>30</v>
      </c>
      <c r="J86" s="543">
        <v>25</v>
      </c>
      <c r="K86" s="543">
        <v>15</v>
      </c>
      <c r="L86" s="543" t="s">
        <v>940</v>
      </c>
      <c r="M86" s="543" t="s">
        <v>940</v>
      </c>
    </row>
    <row r="87" spans="1:13" x14ac:dyDescent="0.2">
      <c r="A87" s="42"/>
      <c r="B87" s="42"/>
      <c r="C87" s="42"/>
      <c r="F87" s="88" t="str">
        <f>'G-1 All Habitats'!B86</f>
        <v>Woodland and forest - Felled</v>
      </c>
      <c r="G87" s="543" t="s">
        <v>941</v>
      </c>
      <c r="H87" s="543" t="s">
        <v>940</v>
      </c>
      <c r="I87" s="543" t="s">
        <v>940</v>
      </c>
      <c r="J87" s="543" t="s">
        <v>940</v>
      </c>
      <c r="K87" s="543" t="s">
        <v>940</v>
      </c>
      <c r="L87" s="543" t="s">
        <v>940</v>
      </c>
      <c r="M87" s="543" t="s">
        <v>940</v>
      </c>
    </row>
    <row r="88" spans="1:13" x14ac:dyDescent="0.2">
      <c r="A88" s="42"/>
      <c r="B88" s="42"/>
      <c r="C88" s="42"/>
      <c r="F88" s="88" t="str">
        <f>'G-1 All Habitats'!B87</f>
        <v>Woodland and forest - Lowland beech and yew woodland</v>
      </c>
      <c r="G88" s="543" t="s">
        <v>941</v>
      </c>
      <c r="H88" s="543" t="s">
        <v>941</v>
      </c>
      <c r="I88" s="543" t="s">
        <v>941</v>
      </c>
      <c r="J88" s="543">
        <v>25</v>
      </c>
      <c r="K88" s="543">
        <v>10</v>
      </c>
      <c r="L88" s="543" t="s">
        <v>940</v>
      </c>
      <c r="M88" s="543" t="s">
        <v>940</v>
      </c>
    </row>
    <row r="89" spans="1:13" x14ac:dyDescent="0.2">
      <c r="A89" s="42"/>
      <c r="B89" s="42"/>
      <c r="C89" s="42"/>
      <c r="F89" s="88" t="str">
        <f>'G-1 All Habitats'!B88</f>
        <v>Woodland and forest - Lowland mixed deciduous woodland</v>
      </c>
      <c r="G89" s="543" t="s">
        <v>941</v>
      </c>
      <c r="H89" s="543" t="s">
        <v>941</v>
      </c>
      <c r="I89" s="543" t="s">
        <v>941</v>
      </c>
      <c r="J89" s="543">
        <v>25</v>
      </c>
      <c r="K89" s="543">
        <v>10</v>
      </c>
      <c r="L89" s="543" t="s">
        <v>940</v>
      </c>
      <c r="M89" s="543" t="s">
        <v>940</v>
      </c>
    </row>
    <row r="90" spans="1:13" x14ac:dyDescent="0.2">
      <c r="A90" s="42"/>
      <c r="B90" s="42"/>
      <c r="C90" s="42"/>
      <c r="F90" s="88" t="str">
        <f>'G-1 All Habitats'!B89</f>
        <v>Woodland and forest - Native pine woodlands</v>
      </c>
      <c r="G90" s="543" t="s">
        <v>941</v>
      </c>
      <c r="H90" s="543" t="s">
        <v>941</v>
      </c>
      <c r="I90" s="543" t="s">
        <v>941</v>
      </c>
      <c r="J90" s="543">
        <v>25</v>
      </c>
      <c r="K90" s="543">
        <v>10</v>
      </c>
      <c r="L90" s="543" t="s">
        <v>940</v>
      </c>
      <c r="M90" s="543" t="s">
        <v>940</v>
      </c>
    </row>
    <row r="91" spans="1:13" x14ac:dyDescent="0.2">
      <c r="A91" s="42"/>
      <c r="B91" s="42"/>
      <c r="C91" s="42"/>
      <c r="F91" s="88" t="str">
        <f>'G-1 All Habitats'!B90</f>
        <v>Woodland and forest - Other coniferous woodland</v>
      </c>
      <c r="G91" s="543" t="s">
        <v>941</v>
      </c>
      <c r="H91" s="543" t="s">
        <v>941</v>
      </c>
      <c r="I91" s="543">
        <v>30</v>
      </c>
      <c r="J91" s="543">
        <v>10</v>
      </c>
      <c r="K91" s="543">
        <v>5</v>
      </c>
      <c r="L91" s="543" t="s">
        <v>940</v>
      </c>
      <c r="M91" s="543" t="s">
        <v>940</v>
      </c>
    </row>
    <row r="92" spans="1:13" x14ac:dyDescent="0.2">
      <c r="A92" s="42"/>
      <c r="B92" s="42"/>
      <c r="C92" s="42"/>
      <c r="F92" s="88" t="str">
        <f>'G-1 All Habitats'!B91</f>
        <v>Woodland and forest - Other Scot's Pine woodland</v>
      </c>
      <c r="G92" s="543" t="s">
        <v>941</v>
      </c>
      <c r="H92" s="543" t="s">
        <v>941</v>
      </c>
      <c r="I92" s="543" t="s">
        <v>941</v>
      </c>
      <c r="J92" s="543">
        <v>25</v>
      </c>
      <c r="K92" s="543">
        <v>10</v>
      </c>
      <c r="L92" s="543" t="s">
        <v>940</v>
      </c>
      <c r="M92" s="543" t="s">
        <v>940</v>
      </c>
    </row>
    <row r="93" spans="1:13" x14ac:dyDescent="0.2">
      <c r="A93" s="42"/>
      <c r="B93" s="42"/>
      <c r="C93" s="42"/>
      <c r="F93" s="88" t="str">
        <f>'G-1 All Habitats'!B92</f>
        <v>Woodland and forest - Other woodland; broadleaved</v>
      </c>
      <c r="G93" s="543" t="s">
        <v>941</v>
      </c>
      <c r="H93" s="543">
        <v>25</v>
      </c>
      <c r="I93" s="543">
        <v>15</v>
      </c>
      <c r="J93" s="543">
        <v>7</v>
      </c>
      <c r="K93" s="543">
        <v>5</v>
      </c>
      <c r="L93" s="543" t="s">
        <v>940</v>
      </c>
      <c r="M93" s="543" t="s">
        <v>940</v>
      </c>
    </row>
    <row r="94" spans="1:13" x14ac:dyDescent="0.2">
      <c r="A94" s="42"/>
      <c r="B94" s="42"/>
      <c r="C94" s="42"/>
      <c r="F94" s="88" t="str">
        <f>'G-1 All Habitats'!B93</f>
        <v>Woodland and forest - Other woodland; mixed</v>
      </c>
      <c r="G94" s="543" t="s">
        <v>941</v>
      </c>
      <c r="H94" s="543" t="s">
        <v>941</v>
      </c>
      <c r="I94" s="543">
        <v>30</v>
      </c>
      <c r="J94" s="543">
        <v>10</v>
      </c>
      <c r="K94" s="543">
        <v>5</v>
      </c>
      <c r="L94" s="543" t="s">
        <v>940</v>
      </c>
      <c r="M94" s="543" t="s">
        <v>940</v>
      </c>
    </row>
    <row r="95" spans="1:13" x14ac:dyDescent="0.2">
      <c r="A95" s="42"/>
      <c r="B95" s="42"/>
      <c r="C95" s="42"/>
      <c r="F95" s="88" t="str">
        <f>'G-1 All Habitats'!B94</f>
        <v>Woodland and forest - Upland birchwoods</v>
      </c>
      <c r="G95" s="543" t="s">
        <v>941</v>
      </c>
      <c r="H95" s="543">
        <v>30</v>
      </c>
      <c r="I95" s="543">
        <v>25</v>
      </c>
      <c r="J95" s="543">
        <v>20</v>
      </c>
      <c r="K95" s="543">
        <v>10</v>
      </c>
      <c r="L95" s="543" t="s">
        <v>940</v>
      </c>
      <c r="M95" s="543" t="s">
        <v>940</v>
      </c>
    </row>
    <row r="96" spans="1:13" x14ac:dyDescent="0.2">
      <c r="A96" s="42"/>
      <c r="B96" s="42"/>
      <c r="C96" s="42"/>
      <c r="F96" s="88" t="str">
        <f>'G-1 All Habitats'!B95</f>
        <v>Woodland and forest - Upland mixed ashwoods</v>
      </c>
      <c r="G96" s="543" t="s">
        <v>941</v>
      </c>
      <c r="H96" s="543" t="s">
        <v>941</v>
      </c>
      <c r="I96" s="543" t="s">
        <v>941</v>
      </c>
      <c r="J96" s="543">
        <v>25</v>
      </c>
      <c r="K96" s="543">
        <v>10</v>
      </c>
      <c r="L96" s="543" t="s">
        <v>940</v>
      </c>
      <c r="M96" s="543" t="s">
        <v>940</v>
      </c>
    </row>
    <row r="97" spans="1:13" x14ac:dyDescent="0.2">
      <c r="A97" s="42"/>
      <c r="B97" s="42"/>
      <c r="C97" s="42"/>
      <c r="F97" s="88" t="str">
        <f>'G-1 All Habitats'!B96</f>
        <v>Woodland and forest - Upland oakwood</v>
      </c>
      <c r="G97" s="543" t="s">
        <v>941</v>
      </c>
      <c r="H97" s="543" t="s">
        <v>941</v>
      </c>
      <c r="I97" s="543" t="s">
        <v>941</v>
      </c>
      <c r="J97" s="543">
        <v>25</v>
      </c>
      <c r="K97" s="543">
        <v>10</v>
      </c>
      <c r="L97" s="543" t="s">
        <v>940</v>
      </c>
      <c r="M97" s="543" t="s">
        <v>940</v>
      </c>
    </row>
    <row r="98" spans="1:13" x14ac:dyDescent="0.2">
      <c r="A98" s="42"/>
      <c r="B98" s="42"/>
      <c r="C98" s="42"/>
      <c r="F98" s="88" t="str">
        <f>'G-1 All Habitats'!B97</f>
        <v>Woodland and forest - Wet woodland</v>
      </c>
      <c r="G98" s="543" t="s">
        <v>941</v>
      </c>
      <c r="H98" s="543">
        <v>30</v>
      </c>
      <c r="I98" s="543">
        <v>15</v>
      </c>
      <c r="J98" s="543">
        <v>10</v>
      </c>
      <c r="K98" s="543">
        <v>5</v>
      </c>
      <c r="L98" s="543" t="s">
        <v>940</v>
      </c>
      <c r="M98" s="543" t="s">
        <v>940</v>
      </c>
    </row>
    <row r="99" spans="1:13" x14ac:dyDescent="0.2">
      <c r="F99" s="88" t="str">
        <f>'G-1 All Habitats'!B98</f>
        <v>Woodland and forest - Wood-pasture and parkland</v>
      </c>
      <c r="G99" s="543" t="s">
        <v>941</v>
      </c>
      <c r="H99" s="543" t="s">
        <v>941</v>
      </c>
      <c r="I99" s="543" t="s">
        <v>941</v>
      </c>
      <c r="J99" s="543">
        <v>25</v>
      </c>
      <c r="K99" s="543">
        <v>10</v>
      </c>
      <c r="L99" s="543" t="s">
        <v>940</v>
      </c>
      <c r="M99" s="543" t="s">
        <v>940</v>
      </c>
    </row>
    <row r="100" spans="1:13" x14ac:dyDescent="0.2">
      <c r="F100" s="88" t="str">
        <f>'G-1 All Habitats'!B99</f>
        <v>Coastal lagoons - Coastal lagoons</v>
      </c>
      <c r="G100" s="543">
        <v>10</v>
      </c>
      <c r="H100" s="543">
        <v>8</v>
      </c>
      <c r="I100" s="543">
        <v>5</v>
      </c>
      <c r="J100" s="543">
        <v>3</v>
      </c>
      <c r="K100" s="543">
        <v>1</v>
      </c>
      <c r="L100" s="543" t="s">
        <v>940</v>
      </c>
      <c r="M100" s="543" t="s">
        <v>940</v>
      </c>
    </row>
    <row r="101" spans="1:13" x14ac:dyDescent="0.2">
      <c r="F101" s="88" t="str">
        <f>'G-1 All Habitats'!B100</f>
        <v>Rocky shore - High energy littoral rock</v>
      </c>
      <c r="G101" s="543">
        <v>10</v>
      </c>
      <c r="H101" s="543">
        <v>7</v>
      </c>
      <c r="I101" s="543">
        <v>4</v>
      </c>
      <c r="J101" s="543">
        <v>2</v>
      </c>
      <c r="K101" s="543">
        <v>1</v>
      </c>
      <c r="L101" s="543" t="s">
        <v>940</v>
      </c>
      <c r="M101" s="543" t="s">
        <v>940</v>
      </c>
    </row>
    <row r="102" spans="1:13" x14ac:dyDescent="0.2">
      <c r="F102" s="88" t="str">
        <f>'G-1 All Habitats'!B101</f>
        <v>Rocky shore - High energy littoral rock - on peat, clay or chalk</v>
      </c>
      <c r="G102" s="543" t="s">
        <v>941</v>
      </c>
      <c r="H102" s="543" t="s">
        <v>941</v>
      </c>
      <c r="I102" s="543" t="s">
        <v>941</v>
      </c>
      <c r="J102" s="543" t="s">
        <v>941</v>
      </c>
      <c r="K102" s="543" t="s">
        <v>941</v>
      </c>
      <c r="L102" s="543" t="s">
        <v>940</v>
      </c>
      <c r="M102" s="543" t="s">
        <v>940</v>
      </c>
    </row>
    <row r="103" spans="1:13" x14ac:dyDescent="0.2">
      <c r="F103" s="88" t="str">
        <f>'G-1 All Habitats'!B102</f>
        <v>Rocky shore - Moderate energy littoral rock</v>
      </c>
      <c r="G103" s="543">
        <v>13</v>
      </c>
      <c r="H103" s="543">
        <v>8</v>
      </c>
      <c r="I103" s="543">
        <v>4</v>
      </c>
      <c r="J103" s="543">
        <v>2</v>
      </c>
      <c r="K103" s="543">
        <v>1</v>
      </c>
      <c r="L103" s="543" t="s">
        <v>940</v>
      </c>
      <c r="M103" s="543" t="s">
        <v>940</v>
      </c>
    </row>
    <row r="104" spans="1:13" x14ac:dyDescent="0.2">
      <c r="F104" s="88" t="str">
        <f>'G-1 All Habitats'!B103</f>
        <v>Rocky shore - Moderate energy littoral rock - on peat, clay or chalk</v>
      </c>
      <c r="G104" s="543" t="s">
        <v>941</v>
      </c>
      <c r="H104" s="543" t="s">
        <v>941</v>
      </c>
      <c r="I104" s="543" t="s">
        <v>941</v>
      </c>
      <c r="J104" s="543" t="s">
        <v>941</v>
      </c>
      <c r="K104" s="543" t="s">
        <v>941</v>
      </c>
      <c r="L104" s="543" t="s">
        <v>940</v>
      </c>
      <c r="M104" s="543" t="s">
        <v>940</v>
      </c>
    </row>
    <row r="105" spans="1:13" x14ac:dyDescent="0.2">
      <c r="F105" s="88" t="str">
        <f>'G-1 All Habitats'!B104</f>
        <v>Rocky shore - Low energy littoral rock</v>
      </c>
      <c r="G105" s="543">
        <v>15</v>
      </c>
      <c r="H105" s="543">
        <v>10</v>
      </c>
      <c r="I105" s="543">
        <v>5</v>
      </c>
      <c r="J105" s="543">
        <v>1</v>
      </c>
      <c r="K105" s="543">
        <v>1</v>
      </c>
      <c r="L105" s="543" t="s">
        <v>940</v>
      </c>
      <c r="M105" s="543" t="s">
        <v>940</v>
      </c>
    </row>
    <row r="106" spans="1:13" x14ac:dyDescent="0.2">
      <c r="F106" s="88" t="str">
        <f>'G-1 All Habitats'!B105</f>
        <v>Rocky shore - Low energy littoral rock - on peat, clay or chalk</v>
      </c>
      <c r="G106" s="543" t="s">
        <v>941</v>
      </c>
      <c r="H106" s="543" t="s">
        <v>941</v>
      </c>
      <c r="I106" s="543" t="s">
        <v>941</v>
      </c>
      <c r="J106" s="543" t="s">
        <v>941</v>
      </c>
      <c r="K106" s="543" t="s">
        <v>941</v>
      </c>
      <c r="L106" s="543" t="s">
        <v>940</v>
      </c>
      <c r="M106" s="543" t="s">
        <v>940</v>
      </c>
    </row>
    <row r="107" spans="1:13" x14ac:dyDescent="0.2">
      <c r="F107" s="88" t="str">
        <f>'G-1 All Habitats'!B106</f>
        <v>Rocky shore - Features of littoral rock</v>
      </c>
      <c r="G107" s="543">
        <v>13</v>
      </c>
      <c r="H107" s="543">
        <v>8</v>
      </c>
      <c r="I107" s="543">
        <v>4</v>
      </c>
      <c r="J107" s="543">
        <v>2</v>
      </c>
      <c r="K107" s="543">
        <v>1</v>
      </c>
      <c r="L107" s="543" t="s">
        <v>940</v>
      </c>
      <c r="M107" s="543" t="s">
        <v>940</v>
      </c>
    </row>
    <row r="108" spans="1:13" x14ac:dyDescent="0.2">
      <c r="F108" s="88" t="str">
        <f>'G-1 All Habitats'!B107</f>
        <v>Rocky shore - Features of littoral rock - on peat, clay or chalk</v>
      </c>
      <c r="G108" s="543" t="s">
        <v>941</v>
      </c>
      <c r="H108" s="543" t="s">
        <v>941</v>
      </c>
      <c r="I108" s="543" t="s">
        <v>941</v>
      </c>
      <c r="J108" s="543" t="s">
        <v>941</v>
      </c>
      <c r="K108" s="543" t="s">
        <v>941</v>
      </c>
      <c r="L108" s="543" t="s">
        <v>940</v>
      </c>
      <c r="M108" s="543" t="s">
        <v>940</v>
      </c>
    </row>
    <row r="109" spans="1:13" x14ac:dyDescent="0.2">
      <c r="F109" s="88" t="str">
        <f>'G-1 All Habitats'!B110</f>
        <v>Intertidal sediment - Littoral coarse sediment</v>
      </c>
      <c r="G109" s="543">
        <v>3</v>
      </c>
      <c r="H109" s="543">
        <v>2</v>
      </c>
      <c r="I109" s="543">
        <v>1</v>
      </c>
      <c r="J109" s="543">
        <v>1</v>
      </c>
      <c r="K109" s="543">
        <v>1</v>
      </c>
      <c r="L109" s="543" t="s">
        <v>940</v>
      </c>
      <c r="M109" s="543" t="s">
        <v>940</v>
      </c>
    </row>
    <row r="110" spans="1:13" x14ac:dyDescent="0.2">
      <c r="F110" s="88" t="str">
        <f>'G-1 All Habitats'!B111</f>
        <v>Intertidal sediment - Littoral mud</v>
      </c>
      <c r="G110" s="543">
        <v>6</v>
      </c>
      <c r="H110" s="543">
        <v>4</v>
      </c>
      <c r="I110" s="543">
        <v>3</v>
      </c>
      <c r="J110" s="543">
        <v>2</v>
      </c>
      <c r="K110" s="543">
        <v>1</v>
      </c>
      <c r="L110" s="543" t="s">
        <v>940</v>
      </c>
      <c r="M110" s="543" t="s">
        <v>940</v>
      </c>
    </row>
    <row r="111" spans="1:13" x14ac:dyDescent="0.2">
      <c r="F111" s="88" t="str">
        <f>'G-1 All Habitats'!B112</f>
        <v>Intertidal sediment - Littoral mixed sediments</v>
      </c>
      <c r="G111" s="543">
        <v>5</v>
      </c>
      <c r="H111" s="543">
        <v>4</v>
      </c>
      <c r="I111" s="543">
        <v>3</v>
      </c>
      <c r="J111" s="543">
        <v>2</v>
      </c>
      <c r="K111" s="543">
        <v>1</v>
      </c>
      <c r="L111" s="543" t="s">
        <v>940</v>
      </c>
      <c r="M111" s="543" t="s">
        <v>940</v>
      </c>
    </row>
    <row r="112" spans="1:13" x14ac:dyDescent="0.2">
      <c r="F112" s="88" t="str">
        <f>'G-1 All Habitats'!B108</f>
        <v>Coastal saltmarsh - Saltmarshes and saline reedbeds</v>
      </c>
      <c r="G112" s="543">
        <v>15</v>
      </c>
      <c r="H112" s="543">
        <v>10</v>
      </c>
      <c r="I112" s="543">
        <v>7</v>
      </c>
      <c r="J112" s="543">
        <v>3</v>
      </c>
      <c r="K112" s="543">
        <v>1</v>
      </c>
      <c r="L112" s="543" t="s">
        <v>940</v>
      </c>
      <c r="M112" s="543" t="s">
        <v>940</v>
      </c>
    </row>
    <row r="113" spans="6:13" x14ac:dyDescent="0.2">
      <c r="F113" s="88" t="str">
        <f>'G-1 All Habitats'!B109</f>
        <v>Coastal saltmarsh - Artificial saltmarshes and saline reedbeds</v>
      </c>
      <c r="G113" s="543">
        <v>15</v>
      </c>
      <c r="H113" s="543">
        <v>10</v>
      </c>
      <c r="I113" s="543">
        <v>7</v>
      </c>
      <c r="J113" s="543">
        <v>3</v>
      </c>
      <c r="K113" s="543">
        <v>1</v>
      </c>
      <c r="L113" s="543" t="s">
        <v>940</v>
      </c>
      <c r="M113" s="543" t="s">
        <v>940</v>
      </c>
    </row>
    <row r="114" spans="6:13" x14ac:dyDescent="0.2">
      <c r="F114" s="88" t="str">
        <f>'G-1 All Habitats'!B113</f>
        <v>Intertidal sediment - Littoral seagrass</v>
      </c>
      <c r="G114" s="543">
        <v>20</v>
      </c>
      <c r="H114" s="543">
        <v>15</v>
      </c>
      <c r="I114" s="543">
        <v>10</v>
      </c>
      <c r="J114" s="543">
        <v>5</v>
      </c>
      <c r="K114" s="543">
        <v>2</v>
      </c>
      <c r="L114" s="543" t="s">
        <v>940</v>
      </c>
      <c r="M114" s="543" t="s">
        <v>940</v>
      </c>
    </row>
    <row r="115" spans="6:13" x14ac:dyDescent="0.2">
      <c r="F115" s="88" t="str">
        <f>'G-1 All Habitats'!B114</f>
        <v>Intertidal sediment - Littoral seagrass on peat, clay or chalk</v>
      </c>
      <c r="G115" s="543" t="s">
        <v>941</v>
      </c>
      <c r="H115" s="543" t="s">
        <v>941</v>
      </c>
      <c r="I115" s="543" t="s">
        <v>941</v>
      </c>
      <c r="J115" s="543" t="s">
        <v>941</v>
      </c>
      <c r="K115" s="543" t="s">
        <v>941</v>
      </c>
      <c r="L115" s="543" t="s">
        <v>940</v>
      </c>
      <c r="M115" s="543" t="s">
        <v>940</v>
      </c>
    </row>
    <row r="116" spans="6:13" x14ac:dyDescent="0.2">
      <c r="F116" s="88" t="str">
        <f>'G-1 All Habitats'!B115</f>
        <v>Intertidal sediment - Littoral biogenic reefs - Mussels</v>
      </c>
      <c r="G116" s="543">
        <v>15</v>
      </c>
      <c r="H116" s="543">
        <v>10</v>
      </c>
      <c r="I116" s="543">
        <v>5</v>
      </c>
      <c r="J116" s="543">
        <v>3</v>
      </c>
      <c r="K116" s="543">
        <v>3</v>
      </c>
      <c r="L116" s="543" t="s">
        <v>940</v>
      </c>
      <c r="M116" s="543" t="s">
        <v>940</v>
      </c>
    </row>
    <row r="117" spans="6:13" x14ac:dyDescent="0.2">
      <c r="F117" s="88" t="str">
        <f>'G-1 All Habitats'!B116</f>
        <v>Intertidal sediment - Littoral biogenic reefs - Sabellaria</v>
      </c>
      <c r="G117" s="543">
        <v>15</v>
      </c>
      <c r="H117" s="543">
        <v>10</v>
      </c>
      <c r="I117" s="543">
        <v>5</v>
      </c>
      <c r="J117" s="543">
        <v>3</v>
      </c>
      <c r="K117" s="543">
        <v>3</v>
      </c>
      <c r="L117" s="543" t="s">
        <v>940</v>
      </c>
      <c r="M117" s="543" t="s">
        <v>940</v>
      </c>
    </row>
    <row r="118" spans="6:13" x14ac:dyDescent="0.2">
      <c r="F118" s="88" t="str">
        <f>'G-1 All Habitats'!B117</f>
        <v>Intertidal sediment - Features of littoral sediment</v>
      </c>
      <c r="G118" s="543">
        <v>10</v>
      </c>
      <c r="H118" s="543">
        <v>7</v>
      </c>
      <c r="I118" s="543">
        <v>5</v>
      </c>
      <c r="J118" s="543">
        <v>3</v>
      </c>
      <c r="K118" s="543">
        <v>3</v>
      </c>
      <c r="L118" s="543" t="s">
        <v>940</v>
      </c>
      <c r="M118" s="543" t="s">
        <v>940</v>
      </c>
    </row>
    <row r="119" spans="6:13" x14ac:dyDescent="0.2">
      <c r="F119" s="88" t="str">
        <f>'G-1 All Habitats'!B118</f>
        <v>Intertidal sediment - Artificial littoral coarse sediment</v>
      </c>
      <c r="G119" s="543">
        <v>3</v>
      </c>
      <c r="H119" s="543">
        <v>2</v>
      </c>
      <c r="I119" s="543">
        <v>1</v>
      </c>
      <c r="J119" s="543">
        <v>1</v>
      </c>
      <c r="K119" s="543">
        <v>1</v>
      </c>
      <c r="L119" s="543" t="s">
        <v>940</v>
      </c>
      <c r="M119" s="543" t="s">
        <v>940</v>
      </c>
    </row>
    <row r="120" spans="6:13" x14ac:dyDescent="0.2">
      <c r="F120" s="88" t="str">
        <f>'G-1 All Habitats'!B119</f>
        <v>Intertidal sediment - Artificial littoral mud</v>
      </c>
      <c r="G120" s="543">
        <v>6</v>
      </c>
      <c r="H120" s="543">
        <v>4</v>
      </c>
      <c r="I120" s="543">
        <v>3</v>
      </c>
      <c r="J120" s="543">
        <v>2</v>
      </c>
      <c r="K120" s="543">
        <v>1</v>
      </c>
      <c r="L120" s="543" t="s">
        <v>940</v>
      </c>
      <c r="M120" s="543" t="s">
        <v>940</v>
      </c>
    </row>
    <row r="121" spans="6:13" x14ac:dyDescent="0.2">
      <c r="F121" s="88" t="str">
        <f>'G-1 All Habitats'!B120</f>
        <v>Intertidal sediment - Artificial littoral sand</v>
      </c>
      <c r="G121" s="543">
        <v>4</v>
      </c>
      <c r="H121" s="543">
        <v>2</v>
      </c>
      <c r="I121" s="543">
        <v>1</v>
      </c>
      <c r="J121" s="543">
        <v>1</v>
      </c>
      <c r="K121" s="543">
        <v>1</v>
      </c>
      <c r="L121" s="543" t="s">
        <v>940</v>
      </c>
      <c r="M121" s="543" t="s">
        <v>940</v>
      </c>
    </row>
    <row r="122" spans="6:13" x14ac:dyDescent="0.2">
      <c r="F122" s="88" t="str">
        <f>'G-1 All Habitats'!B121</f>
        <v>Intertidal sediment - Artificial littoral muddy sand</v>
      </c>
      <c r="G122" s="543">
        <v>5</v>
      </c>
      <c r="H122" s="543">
        <v>4</v>
      </c>
      <c r="I122" s="543">
        <v>3</v>
      </c>
      <c r="J122" s="543">
        <v>2</v>
      </c>
      <c r="K122" s="543">
        <v>1</v>
      </c>
      <c r="L122" s="543" t="s">
        <v>940</v>
      </c>
      <c r="M122" s="543" t="s">
        <v>940</v>
      </c>
    </row>
    <row r="123" spans="6:13" x14ac:dyDescent="0.2">
      <c r="F123" s="88" t="str">
        <f>'G-1 All Habitats'!B122</f>
        <v>Intertidal sediment - Artificial littoral mixed sediments</v>
      </c>
      <c r="G123" s="543">
        <v>5</v>
      </c>
      <c r="H123" s="543">
        <v>4</v>
      </c>
      <c r="I123" s="543">
        <v>3</v>
      </c>
      <c r="J123" s="543">
        <v>2</v>
      </c>
      <c r="K123" s="543">
        <v>1</v>
      </c>
      <c r="L123" s="543" t="s">
        <v>940</v>
      </c>
      <c r="M123" s="543" t="s">
        <v>940</v>
      </c>
    </row>
    <row r="124" spans="6:13" x14ac:dyDescent="0.2">
      <c r="F124" s="88" t="str">
        <f>'G-1 All Habitats'!B123</f>
        <v>Intertidal sediment - Artificial littoral seagrass</v>
      </c>
      <c r="G124" s="543">
        <v>20</v>
      </c>
      <c r="H124" s="543">
        <v>15</v>
      </c>
      <c r="I124" s="543">
        <v>10</v>
      </c>
      <c r="J124" s="543">
        <v>5</v>
      </c>
      <c r="K124" s="543">
        <v>2</v>
      </c>
      <c r="L124" s="543" t="s">
        <v>940</v>
      </c>
      <c r="M124" s="543" t="s">
        <v>940</v>
      </c>
    </row>
    <row r="125" spans="6:13" x14ac:dyDescent="0.2">
      <c r="F125" s="88" t="str">
        <f>'G-1 All Habitats'!B124</f>
        <v>Intertidal sediment - Artificial littoral biogenic reefs</v>
      </c>
      <c r="G125" s="543">
        <v>15</v>
      </c>
      <c r="H125" s="543">
        <v>10</v>
      </c>
      <c r="I125" s="543">
        <v>5</v>
      </c>
      <c r="J125" s="543">
        <v>3</v>
      </c>
      <c r="K125" s="543">
        <v>3</v>
      </c>
      <c r="L125" s="543" t="s">
        <v>940</v>
      </c>
      <c r="M125" s="543" t="s">
        <v>940</v>
      </c>
    </row>
    <row r="126" spans="6:13" x14ac:dyDescent="0.2">
      <c r="F126" s="88" t="str">
        <f>'G-1 All Habitats'!B125</f>
        <v>Intertidal sediment - Littoral sand</v>
      </c>
      <c r="G126" s="543">
        <v>4</v>
      </c>
      <c r="H126" s="543">
        <v>2</v>
      </c>
      <c r="I126" s="543">
        <v>1</v>
      </c>
      <c r="J126" s="543">
        <v>1</v>
      </c>
      <c r="K126" s="543">
        <v>1</v>
      </c>
      <c r="L126" s="543" t="s">
        <v>940</v>
      </c>
      <c r="M126" s="543" t="s">
        <v>940</v>
      </c>
    </row>
    <row r="127" spans="6:13" x14ac:dyDescent="0.2">
      <c r="F127" s="88" t="str">
        <f>'G-1 All Habitats'!B126</f>
        <v>Intertidal sediment - Littoral muddy sand</v>
      </c>
      <c r="G127" s="543">
        <v>5</v>
      </c>
      <c r="H127" s="543">
        <v>4</v>
      </c>
      <c r="I127" s="543">
        <v>3</v>
      </c>
      <c r="J127" s="543">
        <v>2</v>
      </c>
      <c r="K127" s="543">
        <v>1</v>
      </c>
      <c r="L127" s="543" t="s">
        <v>940</v>
      </c>
      <c r="M127" s="543" t="s">
        <v>940</v>
      </c>
    </row>
    <row r="128" spans="6:13" x14ac:dyDescent="0.2">
      <c r="F128" s="88" t="str">
        <f>'G-1 All Habitats'!B127</f>
        <v>Intertidal Hard Structures - Artificial hard structures</v>
      </c>
      <c r="G128" s="543">
        <v>15</v>
      </c>
      <c r="H128" s="543">
        <v>10</v>
      </c>
      <c r="I128" s="543">
        <v>5</v>
      </c>
      <c r="J128" s="543">
        <v>2</v>
      </c>
      <c r="K128" s="543">
        <v>1</v>
      </c>
      <c r="L128" s="543" t="s">
        <v>940</v>
      </c>
      <c r="M128" s="543" t="s">
        <v>940</v>
      </c>
    </row>
    <row r="129" spans="6:13" x14ac:dyDescent="0.2">
      <c r="F129" s="88" t="str">
        <f>'G-1 All Habitats'!B128</f>
        <v>Intertidal Hard Structures - Artificial features of hard structures</v>
      </c>
      <c r="G129" s="543">
        <v>13</v>
      </c>
      <c r="H129" s="543">
        <v>8</v>
      </c>
      <c r="I129" s="543">
        <v>4</v>
      </c>
      <c r="J129" s="543">
        <v>2</v>
      </c>
      <c r="K129" s="543">
        <v>1</v>
      </c>
      <c r="L129" s="543" t="s">
        <v>940</v>
      </c>
      <c r="M129" s="543" t="s">
        <v>940</v>
      </c>
    </row>
    <row r="130" spans="6:13" x14ac:dyDescent="0.2">
      <c r="F130" s="88" t="str">
        <f>'G-1 All Habitats'!B129</f>
        <v>Intertidal Hard Structures - Artificial hard structures with Integrated Greening of Grey Infrastructure (IGGI)</v>
      </c>
      <c r="G130" s="543">
        <v>13</v>
      </c>
      <c r="H130" s="543">
        <v>8</v>
      </c>
      <c r="I130" s="543">
        <v>4</v>
      </c>
      <c r="J130" s="543">
        <v>2</v>
      </c>
      <c r="K130" s="543">
        <v>1</v>
      </c>
      <c r="L130" s="543" t="s">
        <v>940</v>
      </c>
      <c r="M130" s="543" t="s">
        <v>940</v>
      </c>
    </row>
    <row r="131" spans="6:13" x14ac:dyDescent="0.2"/>
    <row r="132" spans="6:13" x14ac:dyDescent="0.2"/>
    <row r="133" spans="6:13" x14ac:dyDescent="0.2"/>
    <row r="134" spans="6:13" x14ac:dyDescent="0.2"/>
    <row r="135" spans="6:13" x14ac:dyDescent="0.2"/>
    <row r="136" spans="6:13" x14ac:dyDescent="0.2"/>
    <row r="137" spans="6:13" x14ac:dyDescent="0.2"/>
    <row r="138" spans="6:13" x14ac:dyDescent="0.2"/>
    <row r="139" spans="6:13" x14ac:dyDescent="0.2"/>
    <row r="140" spans="6:13" x14ac:dyDescent="0.2"/>
    <row r="141" spans="6:13" x14ac:dyDescent="0.2"/>
    <row r="142" spans="6:13" x14ac:dyDescent="0.2"/>
    <row r="143" spans="6:13" x14ac:dyDescent="0.2"/>
    <row r="144" spans="6:13" x14ac:dyDescent="0.2"/>
    <row r="145" x14ac:dyDescent="0.2"/>
    <row r="146" x14ac:dyDescent="0.2"/>
    <row r="147" x14ac:dyDescent="0.2"/>
    <row r="148" x14ac:dyDescent="0.2"/>
    <row r="149" x14ac:dyDescent="0.2"/>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4.25" zeroHeight="1" x14ac:dyDescent="0.2"/>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x14ac:dyDescent="0.2">
      <c r="D1" s="31"/>
      <c r="E1" s="31"/>
      <c r="F1" s="31"/>
      <c r="G1" s="31"/>
      <c r="H1" s="31"/>
      <c r="I1" s="31"/>
      <c r="J1" s="31"/>
      <c r="K1" s="31"/>
      <c r="L1" s="31"/>
      <c r="M1" s="31"/>
      <c r="N1" s="31"/>
      <c r="O1" s="31"/>
      <c r="P1" s="31"/>
      <c r="Q1" s="31"/>
      <c r="R1" s="31"/>
      <c r="S1" s="31"/>
      <c r="T1" s="31"/>
      <c r="U1" s="31"/>
      <c r="V1" s="31"/>
      <c r="W1" s="31"/>
      <c r="X1" s="31"/>
      <c r="Y1" s="31"/>
    </row>
    <row r="2" spans="3:25" ht="42.75" x14ac:dyDescent="0.2">
      <c r="C2" s="279" t="s">
        <v>943</v>
      </c>
      <c r="D2" s="105" t="s">
        <v>944</v>
      </c>
      <c r="E2" s="105" t="s">
        <v>944</v>
      </c>
      <c r="F2" s="105" t="s">
        <v>944</v>
      </c>
      <c r="G2" s="105" t="s">
        <v>944</v>
      </c>
      <c r="H2" s="105" t="s">
        <v>944</v>
      </c>
      <c r="I2" s="105" t="s">
        <v>944</v>
      </c>
      <c r="J2" s="105" t="s">
        <v>944</v>
      </c>
      <c r="K2" s="105" t="s">
        <v>230</v>
      </c>
      <c r="L2" s="105" t="s">
        <v>230</v>
      </c>
      <c r="M2" s="105" t="s">
        <v>230</v>
      </c>
      <c r="N2" s="105" t="s">
        <v>230</v>
      </c>
      <c r="O2" s="105" t="s">
        <v>233</v>
      </c>
      <c r="P2" s="105" t="s">
        <v>233</v>
      </c>
      <c r="Q2" s="105" t="s">
        <v>233</v>
      </c>
      <c r="R2" s="105" t="s">
        <v>233</v>
      </c>
      <c r="S2" s="105" t="s">
        <v>419</v>
      </c>
      <c r="T2" s="105" t="s">
        <v>419</v>
      </c>
      <c r="U2" s="105" t="s">
        <v>419</v>
      </c>
      <c r="V2" s="105" t="s">
        <v>26</v>
      </c>
      <c r="W2" s="105" t="s">
        <v>26</v>
      </c>
      <c r="X2" s="105" t="s">
        <v>408</v>
      </c>
      <c r="Y2" s="105" t="s">
        <v>27</v>
      </c>
    </row>
    <row r="3" spans="3:25" ht="29.45" customHeight="1" x14ac:dyDescent="0.2">
      <c r="C3" s="279" t="s">
        <v>945</v>
      </c>
      <c r="D3" s="105" t="s">
        <v>241</v>
      </c>
      <c r="E3" s="105" t="s">
        <v>230</v>
      </c>
      <c r="F3" s="105" t="s">
        <v>233</v>
      </c>
      <c r="G3" s="105" t="s">
        <v>419</v>
      </c>
      <c r="H3" s="105" t="s">
        <v>26</v>
      </c>
      <c r="I3" s="105" t="s">
        <v>408</v>
      </c>
      <c r="J3" s="105" t="s">
        <v>27</v>
      </c>
      <c r="K3" s="105" t="s">
        <v>419</v>
      </c>
      <c r="L3" s="105" t="s">
        <v>26</v>
      </c>
      <c r="M3" s="105" t="s">
        <v>408</v>
      </c>
      <c r="N3" s="105" t="s">
        <v>27</v>
      </c>
      <c r="O3" s="105" t="s">
        <v>419</v>
      </c>
      <c r="P3" s="105" t="s">
        <v>26</v>
      </c>
      <c r="Q3" s="105" t="s">
        <v>408</v>
      </c>
      <c r="R3" s="105" t="s">
        <v>27</v>
      </c>
      <c r="S3" s="105" t="s">
        <v>26</v>
      </c>
      <c r="T3" s="105" t="s">
        <v>408</v>
      </c>
      <c r="U3" s="105" t="s">
        <v>27</v>
      </c>
      <c r="V3" s="105" t="s">
        <v>408</v>
      </c>
      <c r="W3" s="105" t="s">
        <v>27</v>
      </c>
      <c r="X3" s="105" t="s">
        <v>27</v>
      </c>
      <c r="Y3" s="105" t="s">
        <v>27</v>
      </c>
    </row>
    <row r="4" spans="3:25" ht="72" customHeight="1" x14ac:dyDescent="0.2">
      <c r="C4" s="279" t="s">
        <v>277</v>
      </c>
      <c r="D4" s="103" t="s">
        <v>946</v>
      </c>
      <c r="E4" s="103" t="s">
        <v>947</v>
      </c>
      <c r="F4" s="103" t="s">
        <v>948</v>
      </c>
      <c r="G4" s="103" t="s">
        <v>949</v>
      </c>
      <c r="H4" s="103" t="s">
        <v>950</v>
      </c>
      <c r="I4" s="103" t="s">
        <v>951</v>
      </c>
      <c r="J4" s="103" t="s">
        <v>952</v>
      </c>
      <c r="K4" s="103" t="s">
        <v>953</v>
      </c>
      <c r="L4" s="103" t="s">
        <v>954</v>
      </c>
      <c r="M4" s="103" t="s">
        <v>955</v>
      </c>
      <c r="N4" s="103" t="s">
        <v>956</v>
      </c>
      <c r="O4" s="103" t="s">
        <v>957</v>
      </c>
      <c r="P4" s="103" t="s">
        <v>958</v>
      </c>
      <c r="Q4" s="103" t="s">
        <v>959</v>
      </c>
      <c r="R4" s="103" t="s">
        <v>960</v>
      </c>
      <c r="S4" s="103" t="s">
        <v>961</v>
      </c>
      <c r="T4" s="103" t="s">
        <v>962</v>
      </c>
      <c r="U4" s="103" t="s">
        <v>963</v>
      </c>
      <c r="V4" s="103" t="s">
        <v>964</v>
      </c>
      <c r="W4" s="103" t="s">
        <v>965</v>
      </c>
      <c r="X4" s="103" t="s">
        <v>966</v>
      </c>
      <c r="Y4" s="103" t="s">
        <v>967</v>
      </c>
    </row>
    <row r="5" spans="3:25" x14ac:dyDescent="0.2">
      <c r="C5" s="88" t="str">
        <f>'G-1 All Habitats'!B3</f>
        <v>Cropland - Arable field margins cultivated annually</v>
      </c>
      <c r="D5" s="543" t="s">
        <v>940</v>
      </c>
      <c r="E5" s="543">
        <v>1</v>
      </c>
      <c r="F5" s="543" t="s">
        <v>940</v>
      </c>
      <c r="G5" s="543" t="s">
        <v>940</v>
      </c>
      <c r="H5" s="543" t="s">
        <v>940</v>
      </c>
      <c r="I5" s="543" t="s">
        <v>940</v>
      </c>
      <c r="J5" s="543" t="s">
        <v>940</v>
      </c>
      <c r="K5" s="543" t="s">
        <v>940</v>
      </c>
      <c r="L5" s="543" t="s">
        <v>940</v>
      </c>
      <c r="M5" s="543" t="s">
        <v>940</v>
      </c>
      <c r="N5" s="543" t="s">
        <v>940</v>
      </c>
      <c r="O5" s="543" t="s">
        <v>940</v>
      </c>
      <c r="P5" s="543" t="s">
        <v>940</v>
      </c>
      <c r="Q5" s="543" t="s">
        <v>940</v>
      </c>
      <c r="R5" s="543" t="s">
        <v>940</v>
      </c>
      <c r="S5" s="543" t="s">
        <v>940</v>
      </c>
      <c r="T5" s="543" t="s">
        <v>940</v>
      </c>
      <c r="U5" s="543" t="s">
        <v>940</v>
      </c>
      <c r="V5" s="543" t="s">
        <v>940</v>
      </c>
      <c r="W5" s="543" t="s">
        <v>940</v>
      </c>
      <c r="X5" s="543" t="s">
        <v>940</v>
      </c>
      <c r="Y5" s="543" t="s">
        <v>940</v>
      </c>
    </row>
    <row r="6" spans="3:25" x14ac:dyDescent="0.2">
      <c r="C6" s="88" t="str">
        <f>'G-1 All Habitats'!B4</f>
        <v>Cropland - Arable field margins game bird mix</v>
      </c>
      <c r="D6" s="543" t="s">
        <v>940</v>
      </c>
      <c r="E6" s="543">
        <v>1</v>
      </c>
      <c r="F6" s="543" t="s">
        <v>940</v>
      </c>
      <c r="G6" s="543" t="s">
        <v>940</v>
      </c>
      <c r="H6" s="543" t="s">
        <v>940</v>
      </c>
      <c r="I6" s="543" t="s">
        <v>940</v>
      </c>
      <c r="J6" s="543" t="s">
        <v>940</v>
      </c>
      <c r="K6" s="543" t="s">
        <v>940</v>
      </c>
      <c r="L6" s="543" t="s">
        <v>940</v>
      </c>
      <c r="M6" s="543" t="s">
        <v>940</v>
      </c>
      <c r="N6" s="543" t="s">
        <v>940</v>
      </c>
      <c r="O6" s="543" t="s">
        <v>940</v>
      </c>
      <c r="P6" s="543" t="s">
        <v>940</v>
      </c>
      <c r="Q6" s="543" t="s">
        <v>940</v>
      </c>
      <c r="R6" s="543" t="s">
        <v>940</v>
      </c>
      <c r="S6" s="543" t="s">
        <v>940</v>
      </c>
      <c r="T6" s="543" t="s">
        <v>940</v>
      </c>
      <c r="U6" s="543" t="s">
        <v>940</v>
      </c>
      <c r="V6" s="543" t="s">
        <v>940</v>
      </c>
      <c r="W6" s="543" t="s">
        <v>940</v>
      </c>
      <c r="X6" s="543" t="s">
        <v>940</v>
      </c>
      <c r="Y6" s="543" t="s">
        <v>940</v>
      </c>
    </row>
    <row r="7" spans="3:25" x14ac:dyDescent="0.2">
      <c r="C7" s="88" t="str">
        <f>'G-1 All Habitats'!B5</f>
        <v>Cropland - Arable field margins pollen &amp; nectar</v>
      </c>
      <c r="D7" s="543" t="s">
        <v>940</v>
      </c>
      <c r="E7" s="543">
        <v>1</v>
      </c>
      <c r="F7" s="543" t="s">
        <v>940</v>
      </c>
      <c r="G7" s="543" t="s">
        <v>940</v>
      </c>
      <c r="H7" s="543" t="s">
        <v>940</v>
      </c>
      <c r="I7" s="543" t="s">
        <v>940</v>
      </c>
      <c r="J7" s="543" t="s">
        <v>940</v>
      </c>
      <c r="K7" s="543" t="s">
        <v>940</v>
      </c>
      <c r="L7" s="543" t="s">
        <v>940</v>
      </c>
      <c r="M7" s="543" t="s">
        <v>940</v>
      </c>
      <c r="N7" s="543" t="s">
        <v>940</v>
      </c>
      <c r="O7" s="543" t="s">
        <v>940</v>
      </c>
      <c r="P7" s="543" t="s">
        <v>940</v>
      </c>
      <c r="Q7" s="543" t="s">
        <v>940</v>
      </c>
      <c r="R7" s="543" t="s">
        <v>940</v>
      </c>
      <c r="S7" s="543" t="s">
        <v>940</v>
      </c>
      <c r="T7" s="543" t="s">
        <v>940</v>
      </c>
      <c r="U7" s="543" t="s">
        <v>940</v>
      </c>
      <c r="V7" s="543" t="s">
        <v>940</v>
      </c>
      <c r="W7" s="543" t="s">
        <v>940</v>
      </c>
      <c r="X7" s="543" t="s">
        <v>940</v>
      </c>
      <c r="Y7" s="543" t="s">
        <v>940</v>
      </c>
    </row>
    <row r="8" spans="3:25" x14ac:dyDescent="0.2">
      <c r="C8" s="88" t="str">
        <f>'G-1 All Habitats'!B6</f>
        <v>Cropland - Arable field margins tussocky</v>
      </c>
      <c r="D8" s="543" t="s">
        <v>940</v>
      </c>
      <c r="E8" s="543">
        <v>1</v>
      </c>
      <c r="F8" s="543" t="s">
        <v>940</v>
      </c>
      <c r="G8" s="543" t="s">
        <v>940</v>
      </c>
      <c r="H8" s="543" t="s">
        <v>940</v>
      </c>
      <c r="I8" s="543" t="s">
        <v>940</v>
      </c>
      <c r="J8" s="543" t="s">
        <v>940</v>
      </c>
      <c r="K8" s="543" t="s">
        <v>940</v>
      </c>
      <c r="L8" s="543" t="s">
        <v>940</v>
      </c>
      <c r="M8" s="543" t="s">
        <v>940</v>
      </c>
      <c r="N8" s="543" t="s">
        <v>940</v>
      </c>
      <c r="O8" s="543" t="s">
        <v>940</v>
      </c>
      <c r="P8" s="543" t="s">
        <v>940</v>
      </c>
      <c r="Q8" s="543" t="s">
        <v>940</v>
      </c>
      <c r="R8" s="543" t="s">
        <v>940</v>
      </c>
      <c r="S8" s="543" t="s">
        <v>940</v>
      </c>
      <c r="T8" s="543" t="s">
        <v>940</v>
      </c>
      <c r="U8" s="543" t="s">
        <v>940</v>
      </c>
      <c r="V8" s="543" t="s">
        <v>940</v>
      </c>
      <c r="W8" s="543" t="s">
        <v>940</v>
      </c>
      <c r="X8" s="543" t="s">
        <v>940</v>
      </c>
      <c r="Y8" s="543" t="s">
        <v>940</v>
      </c>
    </row>
    <row r="9" spans="3:25" x14ac:dyDescent="0.2">
      <c r="C9" s="88" t="str">
        <f>'G-1 All Habitats'!B7</f>
        <v>Cropland - Cereal crops</v>
      </c>
      <c r="D9" s="543" t="s">
        <v>940</v>
      </c>
      <c r="E9" s="543" t="s">
        <v>940</v>
      </c>
      <c r="F9" s="543" t="s">
        <v>940</v>
      </c>
      <c r="G9" s="543" t="s">
        <v>940</v>
      </c>
      <c r="H9" s="543" t="s">
        <v>940</v>
      </c>
      <c r="I9" s="543" t="s">
        <v>940</v>
      </c>
      <c r="J9" s="543" t="s">
        <v>940</v>
      </c>
      <c r="K9" s="543" t="s">
        <v>940</v>
      </c>
      <c r="L9" s="543" t="s">
        <v>940</v>
      </c>
      <c r="M9" s="543" t="s">
        <v>940</v>
      </c>
      <c r="N9" s="543" t="s">
        <v>940</v>
      </c>
      <c r="O9" s="543" t="s">
        <v>940</v>
      </c>
      <c r="P9" s="543" t="s">
        <v>940</v>
      </c>
      <c r="Q9" s="543" t="s">
        <v>940</v>
      </c>
      <c r="R9" s="543" t="s">
        <v>940</v>
      </c>
      <c r="S9" s="543" t="s">
        <v>940</v>
      </c>
      <c r="T9" s="543" t="s">
        <v>940</v>
      </c>
      <c r="U9" s="543" t="s">
        <v>940</v>
      </c>
      <c r="V9" s="543" t="s">
        <v>940</v>
      </c>
      <c r="W9" s="543" t="s">
        <v>940</v>
      </c>
      <c r="X9" s="543" t="s">
        <v>940</v>
      </c>
      <c r="Y9" s="543" t="s">
        <v>940</v>
      </c>
    </row>
    <row r="10" spans="3:25" x14ac:dyDescent="0.2">
      <c r="C10" s="88" t="str">
        <f>'G-1 All Habitats'!B8</f>
        <v>Cropland - Cereal crops winter stubble</v>
      </c>
      <c r="D10" s="543" t="s">
        <v>940</v>
      </c>
      <c r="E10" s="543" t="s">
        <v>940</v>
      </c>
      <c r="F10" s="543" t="s">
        <v>940</v>
      </c>
      <c r="G10" s="543" t="s">
        <v>940</v>
      </c>
      <c r="H10" s="543" t="s">
        <v>940</v>
      </c>
      <c r="I10" s="543" t="s">
        <v>940</v>
      </c>
      <c r="J10" s="543" t="s">
        <v>940</v>
      </c>
      <c r="K10" s="543" t="s">
        <v>940</v>
      </c>
      <c r="L10" s="543" t="s">
        <v>940</v>
      </c>
      <c r="M10" s="543" t="s">
        <v>940</v>
      </c>
      <c r="N10" s="543" t="s">
        <v>940</v>
      </c>
      <c r="O10" s="543" t="s">
        <v>940</v>
      </c>
      <c r="P10" s="543" t="s">
        <v>940</v>
      </c>
      <c r="Q10" s="543" t="s">
        <v>940</v>
      </c>
      <c r="R10" s="543" t="s">
        <v>940</v>
      </c>
      <c r="S10" s="543" t="s">
        <v>940</v>
      </c>
      <c r="T10" s="543" t="s">
        <v>940</v>
      </c>
      <c r="U10" s="543" t="s">
        <v>940</v>
      </c>
      <c r="V10" s="543" t="s">
        <v>940</v>
      </c>
      <c r="W10" s="543" t="s">
        <v>940</v>
      </c>
      <c r="X10" s="543" t="s">
        <v>940</v>
      </c>
      <c r="Y10" s="543" t="s">
        <v>940</v>
      </c>
    </row>
    <row r="11" spans="3:25" x14ac:dyDescent="0.2">
      <c r="C11" s="88" t="str">
        <f>'G-1 All Habitats'!B9</f>
        <v>Cropland - Horticulture</v>
      </c>
      <c r="D11" s="543" t="s">
        <v>940</v>
      </c>
      <c r="E11" s="543" t="s">
        <v>940</v>
      </c>
      <c r="F11" s="543" t="s">
        <v>940</v>
      </c>
      <c r="G11" s="543" t="s">
        <v>940</v>
      </c>
      <c r="H11" s="543" t="s">
        <v>940</v>
      </c>
      <c r="I11" s="543" t="s">
        <v>940</v>
      </c>
      <c r="J11" s="543" t="s">
        <v>940</v>
      </c>
      <c r="K11" s="543" t="s">
        <v>940</v>
      </c>
      <c r="L11" s="543" t="s">
        <v>940</v>
      </c>
      <c r="M11" s="543" t="s">
        <v>940</v>
      </c>
      <c r="N11" s="543" t="s">
        <v>940</v>
      </c>
      <c r="O11" s="543" t="s">
        <v>940</v>
      </c>
      <c r="P11" s="543" t="s">
        <v>940</v>
      </c>
      <c r="Q11" s="543" t="s">
        <v>940</v>
      </c>
      <c r="R11" s="543" t="s">
        <v>940</v>
      </c>
      <c r="S11" s="543" t="s">
        <v>940</v>
      </c>
      <c r="T11" s="543" t="s">
        <v>940</v>
      </c>
      <c r="U11" s="543" t="s">
        <v>940</v>
      </c>
      <c r="V11" s="543" t="s">
        <v>940</v>
      </c>
      <c r="W11" s="543" t="s">
        <v>940</v>
      </c>
      <c r="X11" s="543" t="s">
        <v>940</v>
      </c>
      <c r="Y11" s="543" t="s">
        <v>940</v>
      </c>
    </row>
    <row r="12" spans="3:25" x14ac:dyDescent="0.2">
      <c r="C12" s="88" t="str">
        <f>'G-1 All Habitats'!B10</f>
        <v>Cropland - Intensive orchards</v>
      </c>
      <c r="D12" s="543" t="s">
        <v>940</v>
      </c>
      <c r="E12" s="543" t="s">
        <v>940</v>
      </c>
      <c r="F12" s="543" t="s">
        <v>940</v>
      </c>
      <c r="G12" s="543" t="s">
        <v>940</v>
      </c>
      <c r="H12" s="543" t="s">
        <v>940</v>
      </c>
      <c r="I12" s="543" t="s">
        <v>940</v>
      </c>
      <c r="J12" s="543" t="s">
        <v>940</v>
      </c>
      <c r="K12" s="543" t="s">
        <v>940</v>
      </c>
      <c r="L12" s="543" t="s">
        <v>940</v>
      </c>
      <c r="M12" s="543" t="s">
        <v>940</v>
      </c>
      <c r="N12" s="543" t="s">
        <v>940</v>
      </c>
      <c r="O12" s="543" t="s">
        <v>940</v>
      </c>
      <c r="P12" s="543" t="s">
        <v>940</v>
      </c>
      <c r="Q12" s="543" t="s">
        <v>940</v>
      </c>
      <c r="R12" s="543" t="s">
        <v>940</v>
      </c>
      <c r="S12" s="543" t="s">
        <v>940</v>
      </c>
      <c r="T12" s="543" t="s">
        <v>940</v>
      </c>
      <c r="U12" s="543" t="s">
        <v>940</v>
      </c>
      <c r="V12" s="543" t="s">
        <v>940</v>
      </c>
      <c r="W12" s="543" t="s">
        <v>940</v>
      </c>
      <c r="X12" s="543" t="s">
        <v>940</v>
      </c>
      <c r="Y12" s="543" t="s">
        <v>940</v>
      </c>
    </row>
    <row r="13" spans="3:25" x14ac:dyDescent="0.2">
      <c r="C13" s="88" t="str">
        <f>'G-1 All Habitats'!B11</f>
        <v>Cropland - Non-cereal crops</v>
      </c>
      <c r="D13" s="543" t="s">
        <v>940</v>
      </c>
      <c r="E13" s="543" t="s">
        <v>940</v>
      </c>
      <c r="F13" s="543" t="s">
        <v>940</v>
      </c>
      <c r="G13" s="543" t="s">
        <v>940</v>
      </c>
      <c r="H13" s="543" t="s">
        <v>940</v>
      </c>
      <c r="I13" s="543" t="s">
        <v>940</v>
      </c>
      <c r="J13" s="543" t="s">
        <v>940</v>
      </c>
      <c r="K13" s="543" t="s">
        <v>940</v>
      </c>
      <c r="L13" s="543" t="s">
        <v>940</v>
      </c>
      <c r="M13" s="543" t="s">
        <v>940</v>
      </c>
      <c r="N13" s="543" t="s">
        <v>940</v>
      </c>
      <c r="O13" s="543" t="s">
        <v>940</v>
      </c>
      <c r="P13" s="543" t="s">
        <v>940</v>
      </c>
      <c r="Q13" s="543" t="s">
        <v>940</v>
      </c>
      <c r="R13" s="543" t="s">
        <v>940</v>
      </c>
      <c r="S13" s="543" t="s">
        <v>940</v>
      </c>
      <c r="T13" s="543" t="s">
        <v>940</v>
      </c>
      <c r="U13" s="543" t="s">
        <v>940</v>
      </c>
      <c r="V13" s="543" t="s">
        <v>940</v>
      </c>
      <c r="W13" s="543" t="s">
        <v>940</v>
      </c>
      <c r="X13" s="543" t="s">
        <v>940</v>
      </c>
      <c r="Y13" s="543" t="s">
        <v>940</v>
      </c>
    </row>
    <row r="14" spans="3:25" x14ac:dyDescent="0.2">
      <c r="C14" s="88" t="str">
        <f>'G-1 All Habitats'!B12</f>
        <v>Cropland - Temporary grass and clover leys</v>
      </c>
      <c r="D14" s="543" t="s">
        <v>940</v>
      </c>
      <c r="E14" s="543" t="s">
        <v>940</v>
      </c>
      <c r="F14" s="543" t="s">
        <v>940</v>
      </c>
      <c r="G14" s="543" t="s">
        <v>940</v>
      </c>
      <c r="H14" s="543" t="s">
        <v>940</v>
      </c>
      <c r="I14" s="543" t="s">
        <v>940</v>
      </c>
      <c r="J14" s="543" t="s">
        <v>940</v>
      </c>
      <c r="K14" s="543" t="s">
        <v>940</v>
      </c>
      <c r="L14" s="543" t="s">
        <v>940</v>
      </c>
      <c r="M14" s="543" t="s">
        <v>940</v>
      </c>
      <c r="N14" s="543" t="s">
        <v>940</v>
      </c>
      <c r="O14" s="543" t="s">
        <v>940</v>
      </c>
      <c r="P14" s="543" t="s">
        <v>940</v>
      </c>
      <c r="Q14" s="543" t="s">
        <v>940</v>
      </c>
      <c r="R14" s="543" t="s">
        <v>940</v>
      </c>
      <c r="S14" s="543" t="s">
        <v>940</v>
      </c>
      <c r="T14" s="543" t="s">
        <v>940</v>
      </c>
      <c r="U14" s="543" t="s">
        <v>940</v>
      </c>
      <c r="V14" s="543" t="s">
        <v>940</v>
      </c>
      <c r="W14" s="543" t="s">
        <v>940</v>
      </c>
      <c r="X14" s="543" t="s">
        <v>940</v>
      </c>
      <c r="Y14" s="543" t="s">
        <v>940</v>
      </c>
    </row>
    <row r="15" spans="3:25" x14ac:dyDescent="0.2">
      <c r="C15" s="88" t="str">
        <f>'G-1 All Habitats'!B13</f>
        <v>Grassland - Traditional orchards</v>
      </c>
      <c r="D15" s="543" t="s">
        <v>940</v>
      </c>
      <c r="E15" s="543" t="s">
        <v>940</v>
      </c>
      <c r="F15" s="543">
        <v>5</v>
      </c>
      <c r="G15" s="543">
        <v>10</v>
      </c>
      <c r="H15" s="543">
        <v>20</v>
      </c>
      <c r="I15" s="543">
        <v>25</v>
      </c>
      <c r="J15" s="543">
        <v>30</v>
      </c>
      <c r="K15" s="543" t="s">
        <v>940</v>
      </c>
      <c r="L15" s="543" t="s">
        <v>940</v>
      </c>
      <c r="M15" s="543" t="s">
        <v>940</v>
      </c>
      <c r="N15" s="543" t="s">
        <v>940</v>
      </c>
      <c r="O15" s="543">
        <v>5</v>
      </c>
      <c r="P15" s="543">
        <v>15</v>
      </c>
      <c r="Q15" s="543">
        <v>20</v>
      </c>
      <c r="R15" s="543">
        <v>25</v>
      </c>
      <c r="S15" s="543">
        <v>10</v>
      </c>
      <c r="T15" s="543">
        <v>15</v>
      </c>
      <c r="U15" s="543">
        <v>20</v>
      </c>
      <c r="V15" s="543">
        <v>5</v>
      </c>
      <c r="W15" s="543">
        <v>10</v>
      </c>
      <c r="X15" s="543">
        <v>5</v>
      </c>
      <c r="Y15" s="543" t="s">
        <v>940</v>
      </c>
    </row>
    <row r="16" spans="3:25" x14ac:dyDescent="0.2">
      <c r="C16" s="88" t="str">
        <f>'G-1 All Habitats'!B14</f>
        <v>Grassland - Bracken</v>
      </c>
      <c r="D16" s="543" t="s">
        <v>940</v>
      </c>
      <c r="E16" s="543" t="s">
        <v>940</v>
      </c>
      <c r="F16" s="543">
        <v>1</v>
      </c>
      <c r="G16" s="543" t="s">
        <v>940</v>
      </c>
      <c r="H16" s="543" t="s">
        <v>940</v>
      </c>
      <c r="I16" s="543" t="s">
        <v>940</v>
      </c>
      <c r="J16" s="543" t="s">
        <v>940</v>
      </c>
      <c r="K16" s="543" t="s">
        <v>940</v>
      </c>
      <c r="L16" s="543" t="s">
        <v>940</v>
      </c>
      <c r="M16" s="543" t="s">
        <v>940</v>
      </c>
      <c r="N16" s="543" t="s">
        <v>940</v>
      </c>
      <c r="O16" s="543" t="s">
        <v>940</v>
      </c>
      <c r="P16" s="543" t="s">
        <v>940</v>
      </c>
      <c r="Q16" s="543" t="s">
        <v>940</v>
      </c>
      <c r="R16" s="543" t="s">
        <v>940</v>
      </c>
      <c r="S16" s="543" t="s">
        <v>940</v>
      </c>
      <c r="T16" s="543" t="s">
        <v>940</v>
      </c>
      <c r="U16" s="543" t="s">
        <v>940</v>
      </c>
      <c r="V16" s="543" t="s">
        <v>940</v>
      </c>
      <c r="W16" s="543" t="s">
        <v>940</v>
      </c>
      <c r="X16" s="543" t="s">
        <v>940</v>
      </c>
      <c r="Y16" s="543" t="s">
        <v>940</v>
      </c>
    </row>
    <row r="17" spans="3:25" x14ac:dyDescent="0.2">
      <c r="C17" s="88" t="str">
        <f>'G-1 All Habitats'!B15</f>
        <v>Grassland - Floodplain Wetland Mosaic (CFGM)</v>
      </c>
      <c r="D17" s="543" t="s">
        <v>940</v>
      </c>
      <c r="E17" s="543" t="s">
        <v>940</v>
      </c>
      <c r="F17" s="543">
        <v>5</v>
      </c>
      <c r="G17" s="543">
        <v>8</v>
      </c>
      <c r="H17" s="543">
        <v>10</v>
      </c>
      <c r="I17" s="543">
        <v>12</v>
      </c>
      <c r="J17" s="543">
        <v>15</v>
      </c>
      <c r="K17" s="543" t="s">
        <v>940</v>
      </c>
      <c r="L17" s="543" t="s">
        <v>940</v>
      </c>
      <c r="M17" s="543" t="s">
        <v>940</v>
      </c>
      <c r="N17" s="543" t="s">
        <v>940</v>
      </c>
      <c r="O17" s="543">
        <v>8</v>
      </c>
      <c r="P17" s="543">
        <v>10</v>
      </c>
      <c r="Q17" s="543">
        <v>12</v>
      </c>
      <c r="R17" s="543">
        <v>15</v>
      </c>
      <c r="S17" s="543">
        <v>2</v>
      </c>
      <c r="T17" s="543">
        <v>4</v>
      </c>
      <c r="U17" s="543">
        <v>7</v>
      </c>
      <c r="V17" s="543">
        <v>2</v>
      </c>
      <c r="W17" s="543">
        <v>4</v>
      </c>
      <c r="X17" s="543">
        <v>3</v>
      </c>
      <c r="Y17" s="543" t="s">
        <v>940</v>
      </c>
    </row>
    <row r="18" spans="3:25" x14ac:dyDescent="0.2">
      <c r="C18" s="88" t="str">
        <f>'G-1 All Habitats'!B16</f>
        <v>Grassland - Lowland calcareous grassland</v>
      </c>
      <c r="D18" s="543" t="s">
        <v>940</v>
      </c>
      <c r="E18" s="543" t="s">
        <v>940</v>
      </c>
      <c r="F18" s="543">
        <v>10</v>
      </c>
      <c r="G18" s="543">
        <v>15</v>
      </c>
      <c r="H18" s="543">
        <v>20</v>
      </c>
      <c r="I18" s="543">
        <v>25</v>
      </c>
      <c r="J18" s="543">
        <v>30</v>
      </c>
      <c r="K18" s="543" t="s">
        <v>940</v>
      </c>
      <c r="L18" s="543" t="s">
        <v>940</v>
      </c>
      <c r="M18" s="543" t="s">
        <v>940</v>
      </c>
      <c r="N18" s="543" t="s">
        <v>940</v>
      </c>
      <c r="O18" s="543">
        <v>5</v>
      </c>
      <c r="P18" s="543">
        <v>10</v>
      </c>
      <c r="Q18" s="543">
        <v>15</v>
      </c>
      <c r="R18" s="543">
        <v>20</v>
      </c>
      <c r="S18" s="543">
        <v>5</v>
      </c>
      <c r="T18" s="543">
        <v>10</v>
      </c>
      <c r="U18" s="543">
        <v>15</v>
      </c>
      <c r="V18" s="543">
        <v>5</v>
      </c>
      <c r="W18" s="543">
        <v>10</v>
      </c>
      <c r="X18" s="543">
        <v>5</v>
      </c>
      <c r="Y18" s="543" t="s">
        <v>940</v>
      </c>
    </row>
    <row r="19" spans="3:25" x14ac:dyDescent="0.2">
      <c r="C19" s="88" t="str">
        <f>'G-1 All Habitats'!B17</f>
        <v>Grassland - Lowland dry acid grassland</v>
      </c>
      <c r="D19" s="543" t="s">
        <v>940</v>
      </c>
      <c r="E19" s="543" t="s">
        <v>940</v>
      </c>
      <c r="F19" s="543">
        <v>10</v>
      </c>
      <c r="G19" s="543">
        <v>15</v>
      </c>
      <c r="H19" s="543">
        <v>20</v>
      </c>
      <c r="I19" s="543">
        <v>25</v>
      </c>
      <c r="J19" s="543" t="s">
        <v>941</v>
      </c>
      <c r="K19" s="543" t="s">
        <v>940</v>
      </c>
      <c r="L19" s="543" t="s">
        <v>940</v>
      </c>
      <c r="M19" s="543" t="s">
        <v>940</v>
      </c>
      <c r="N19" s="543" t="s">
        <v>940</v>
      </c>
      <c r="O19" s="543">
        <v>5</v>
      </c>
      <c r="P19" s="543">
        <v>15</v>
      </c>
      <c r="Q19" s="543">
        <v>20</v>
      </c>
      <c r="R19" s="543" t="s">
        <v>941</v>
      </c>
      <c r="S19" s="543">
        <v>8</v>
      </c>
      <c r="T19" s="543">
        <v>15</v>
      </c>
      <c r="U19" s="543">
        <v>25</v>
      </c>
      <c r="V19" s="543">
        <v>10</v>
      </c>
      <c r="W19" s="543">
        <v>20</v>
      </c>
      <c r="X19" s="543">
        <v>10</v>
      </c>
      <c r="Y19" s="543" t="s">
        <v>940</v>
      </c>
    </row>
    <row r="20" spans="3:25" x14ac:dyDescent="0.2">
      <c r="C20" s="88" t="str">
        <f>'G-1 All Habitats'!B18</f>
        <v>Grassland - Lowland meadows</v>
      </c>
      <c r="D20" s="543" t="s">
        <v>940</v>
      </c>
      <c r="E20" s="543" t="s">
        <v>940</v>
      </c>
      <c r="F20" s="543">
        <v>5</v>
      </c>
      <c r="G20" s="543">
        <v>8</v>
      </c>
      <c r="H20" s="543">
        <v>10</v>
      </c>
      <c r="I20" s="543">
        <v>12</v>
      </c>
      <c r="J20" s="543">
        <v>15</v>
      </c>
      <c r="K20" s="543" t="s">
        <v>940</v>
      </c>
      <c r="L20" s="543" t="s">
        <v>940</v>
      </c>
      <c r="M20" s="543" t="s">
        <v>940</v>
      </c>
      <c r="N20" s="543" t="s">
        <v>940</v>
      </c>
      <c r="O20" s="543">
        <v>4</v>
      </c>
      <c r="P20" s="543">
        <v>8</v>
      </c>
      <c r="Q20" s="543">
        <v>11</v>
      </c>
      <c r="R20" s="543">
        <v>15</v>
      </c>
      <c r="S20" s="543">
        <v>4</v>
      </c>
      <c r="T20" s="543">
        <v>8</v>
      </c>
      <c r="U20" s="543">
        <v>11</v>
      </c>
      <c r="V20" s="543">
        <v>4</v>
      </c>
      <c r="W20" s="543">
        <v>8</v>
      </c>
      <c r="X20" s="543">
        <v>4</v>
      </c>
      <c r="Y20" s="543" t="s">
        <v>940</v>
      </c>
    </row>
    <row r="21" spans="3:25" x14ac:dyDescent="0.2">
      <c r="C21" s="88" t="str">
        <f>'G-1 All Habitats'!B19</f>
        <v>Grassland - Modified grassland</v>
      </c>
      <c r="D21" s="543" t="s">
        <v>940</v>
      </c>
      <c r="E21" s="543">
        <v>1</v>
      </c>
      <c r="F21" s="543">
        <v>1</v>
      </c>
      <c r="G21" s="543">
        <v>5</v>
      </c>
      <c r="H21" s="543">
        <v>10</v>
      </c>
      <c r="I21" s="543">
        <v>12</v>
      </c>
      <c r="J21" s="543">
        <v>15</v>
      </c>
      <c r="K21" s="543" t="s">
        <v>940</v>
      </c>
      <c r="L21" s="543" t="s">
        <v>940</v>
      </c>
      <c r="M21" s="543" t="s">
        <v>940</v>
      </c>
      <c r="N21" s="543" t="s">
        <v>940</v>
      </c>
      <c r="O21" s="543">
        <v>5</v>
      </c>
      <c r="P21" s="543">
        <v>10</v>
      </c>
      <c r="Q21" s="543">
        <v>12</v>
      </c>
      <c r="R21" s="543">
        <v>15</v>
      </c>
      <c r="S21" s="543">
        <v>8</v>
      </c>
      <c r="T21" s="543">
        <v>10</v>
      </c>
      <c r="U21" s="543">
        <v>12</v>
      </c>
      <c r="V21" s="543">
        <v>8</v>
      </c>
      <c r="W21" s="543">
        <v>10</v>
      </c>
      <c r="X21" s="543">
        <v>8</v>
      </c>
      <c r="Y21" s="543" t="s">
        <v>940</v>
      </c>
    </row>
    <row r="22" spans="3:25" x14ac:dyDescent="0.2">
      <c r="C22" s="88" t="str">
        <f>'G-1 All Habitats'!B20</f>
        <v>Grassland - Other lowland acid grassland</v>
      </c>
      <c r="D22" s="543" t="s">
        <v>940</v>
      </c>
      <c r="E22" s="543" t="s">
        <v>940</v>
      </c>
      <c r="F22" s="543">
        <v>1</v>
      </c>
      <c r="G22" s="543">
        <v>5</v>
      </c>
      <c r="H22" s="543">
        <v>10</v>
      </c>
      <c r="I22" s="543">
        <v>12</v>
      </c>
      <c r="J22" s="543">
        <v>15</v>
      </c>
      <c r="K22" s="543" t="s">
        <v>940</v>
      </c>
      <c r="L22" s="543" t="s">
        <v>940</v>
      </c>
      <c r="M22" s="543" t="s">
        <v>940</v>
      </c>
      <c r="N22" s="543" t="s">
        <v>940</v>
      </c>
      <c r="O22" s="543">
        <v>5</v>
      </c>
      <c r="P22" s="543">
        <v>10</v>
      </c>
      <c r="Q22" s="543">
        <v>12</v>
      </c>
      <c r="R22" s="543">
        <v>15</v>
      </c>
      <c r="S22" s="543">
        <v>8</v>
      </c>
      <c r="T22" s="543">
        <v>10</v>
      </c>
      <c r="U22" s="543">
        <v>12</v>
      </c>
      <c r="V22" s="543">
        <v>8</v>
      </c>
      <c r="W22" s="543">
        <v>10</v>
      </c>
      <c r="X22" s="543">
        <v>8</v>
      </c>
      <c r="Y22" s="543" t="s">
        <v>940</v>
      </c>
    </row>
    <row r="23" spans="3:25" x14ac:dyDescent="0.2">
      <c r="C23" s="88" t="str">
        <f>'G-1 All Habitats'!B21</f>
        <v>Grassland - Other neutral grassland</v>
      </c>
      <c r="D23" s="543" t="s">
        <v>940</v>
      </c>
      <c r="E23" s="543" t="s">
        <v>940</v>
      </c>
      <c r="F23" s="543">
        <v>1</v>
      </c>
      <c r="G23" s="543">
        <v>5</v>
      </c>
      <c r="H23" s="543">
        <v>10</v>
      </c>
      <c r="I23" s="543">
        <v>12</v>
      </c>
      <c r="J23" s="543">
        <v>15</v>
      </c>
      <c r="K23" s="543" t="s">
        <v>940</v>
      </c>
      <c r="L23" s="543" t="s">
        <v>940</v>
      </c>
      <c r="M23" s="543" t="s">
        <v>940</v>
      </c>
      <c r="N23" s="543" t="s">
        <v>940</v>
      </c>
      <c r="O23" s="543">
        <v>5</v>
      </c>
      <c r="P23" s="543">
        <v>10</v>
      </c>
      <c r="Q23" s="543">
        <v>12</v>
      </c>
      <c r="R23" s="543">
        <v>15</v>
      </c>
      <c r="S23" s="543">
        <v>8</v>
      </c>
      <c r="T23" s="543">
        <v>10</v>
      </c>
      <c r="U23" s="543">
        <v>12</v>
      </c>
      <c r="V23" s="543">
        <v>8</v>
      </c>
      <c r="W23" s="543">
        <v>10</v>
      </c>
      <c r="X23" s="543">
        <v>8</v>
      </c>
      <c r="Y23" s="543" t="s">
        <v>940</v>
      </c>
    </row>
    <row r="24" spans="3:25" x14ac:dyDescent="0.2">
      <c r="C24" s="88" t="str">
        <f>'G-1 All Habitats'!B22</f>
        <v>Grassland - Tall herb communities (H6430)</v>
      </c>
      <c r="D24" s="543" t="s">
        <v>940</v>
      </c>
      <c r="E24" s="543" t="s">
        <v>940</v>
      </c>
      <c r="F24" s="543">
        <v>10</v>
      </c>
      <c r="G24" s="543">
        <v>15</v>
      </c>
      <c r="H24" s="543">
        <v>20</v>
      </c>
      <c r="I24" s="543">
        <v>25</v>
      </c>
      <c r="J24" s="543">
        <v>30</v>
      </c>
      <c r="K24" s="543" t="s">
        <v>940</v>
      </c>
      <c r="L24" s="543" t="s">
        <v>940</v>
      </c>
      <c r="M24" s="543" t="s">
        <v>940</v>
      </c>
      <c r="N24" s="543" t="s">
        <v>940</v>
      </c>
      <c r="O24" s="543">
        <v>10</v>
      </c>
      <c r="P24" s="543">
        <v>20</v>
      </c>
      <c r="Q24" s="543">
        <v>25</v>
      </c>
      <c r="R24" s="543">
        <v>30</v>
      </c>
      <c r="S24" s="543">
        <v>10</v>
      </c>
      <c r="T24" s="543">
        <v>10</v>
      </c>
      <c r="U24" s="543">
        <v>15</v>
      </c>
      <c r="V24" s="543">
        <v>5</v>
      </c>
      <c r="W24" s="543">
        <v>10</v>
      </c>
      <c r="X24" s="543">
        <v>5</v>
      </c>
      <c r="Y24" s="543" t="s">
        <v>940</v>
      </c>
    </row>
    <row r="25" spans="3:25" x14ac:dyDescent="0.2">
      <c r="C25" s="88" t="str">
        <f>'G-1 All Habitats'!B23</f>
        <v>Grassland - Upland acid grassland</v>
      </c>
      <c r="D25" s="543" t="s">
        <v>940</v>
      </c>
      <c r="E25" s="543" t="s">
        <v>940</v>
      </c>
      <c r="F25" s="543">
        <v>1</v>
      </c>
      <c r="G25" s="543">
        <v>5</v>
      </c>
      <c r="H25" s="543">
        <v>10</v>
      </c>
      <c r="I25" s="543">
        <v>12</v>
      </c>
      <c r="J25" s="543">
        <v>15</v>
      </c>
      <c r="K25" s="543" t="s">
        <v>940</v>
      </c>
      <c r="L25" s="543" t="s">
        <v>940</v>
      </c>
      <c r="M25" s="543" t="s">
        <v>940</v>
      </c>
      <c r="N25" s="543" t="s">
        <v>940</v>
      </c>
      <c r="O25" s="543">
        <v>5</v>
      </c>
      <c r="P25" s="543">
        <v>10</v>
      </c>
      <c r="Q25" s="543">
        <v>12</v>
      </c>
      <c r="R25" s="543">
        <v>15</v>
      </c>
      <c r="S25" s="543">
        <v>8</v>
      </c>
      <c r="T25" s="543">
        <v>10</v>
      </c>
      <c r="U25" s="543">
        <v>12</v>
      </c>
      <c r="V25" s="543">
        <v>8</v>
      </c>
      <c r="W25" s="543">
        <v>10</v>
      </c>
      <c r="X25" s="543">
        <v>8</v>
      </c>
      <c r="Y25" s="543" t="s">
        <v>940</v>
      </c>
    </row>
    <row r="26" spans="3:25" x14ac:dyDescent="0.2">
      <c r="C26" s="88" t="str">
        <f>'G-1 All Habitats'!B24</f>
        <v>Grassland - Upland calcareous grassland</v>
      </c>
      <c r="D26" s="543" t="s">
        <v>940</v>
      </c>
      <c r="E26" s="543" t="s">
        <v>940</v>
      </c>
      <c r="F26" s="543">
        <v>10</v>
      </c>
      <c r="G26" s="543">
        <v>12</v>
      </c>
      <c r="H26" s="543">
        <v>15</v>
      </c>
      <c r="I26" s="543">
        <v>20</v>
      </c>
      <c r="J26" s="543">
        <v>25</v>
      </c>
      <c r="K26" s="543" t="s">
        <v>940</v>
      </c>
      <c r="L26" s="543" t="s">
        <v>940</v>
      </c>
      <c r="M26" s="543" t="s">
        <v>940</v>
      </c>
      <c r="N26" s="543" t="s">
        <v>940</v>
      </c>
      <c r="O26" s="543">
        <v>10</v>
      </c>
      <c r="P26" s="543">
        <v>15</v>
      </c>
      <c r="Q26" s="543">
        <v>18</v>
      </c>
      <c r="R26" s="543">
        <v>20</v>
      </c>
      <c r="S26" s="543">
        <v>10</v>
      </c>
      <c r="T26" s="543">
        <v>15</v>
      </c>
      <c r="U26" s="543">
        <v>18</v>
      </c>
      <c r="V26" s="543">
        <v>10</v>
      </c>
      <c r="W26" s="543">
        <v>10</v>
      </c>
      <c r="X26" s="543">
        <v>10</v>
      </c>
      <c r="Y26" s="543" t="s">
        <v>940</v>
      </c>
    </row>
    <row r="27" spans="3:25" x14ac:dyDescent="0.2">
      <c r="C27" s="88" t="str">
        <f>'G-1 All Habitats'!B25</f>
        <v>Grassland - Upland hay meadows</v>
      </c>
      <c r="D27" s="543" t="s">
        <v>940</v>
      </c>
      <c r="E27" s="543" t="s">
        <v>940</v>
      </c>
      <c r="F27" s="543">
        <v>10</v>
      </c>
      <c r="G27" s="543">
        <v>12</v>
      </c>
      <c r="H27" s="543">
        <v>15</v>
      </c>
      <c r="I27" s="543">
        <v>18</v>
      </c>
      <c r="J27" s="543">
        <v>20</v>
      </c>
      <c r="K27" s="543" t="s">
        <v>940</v>
      </c>
      <c r="L27" s="543" t="s">
        <v>940</v>
      </c>
      <c r="M27" s="543" t="s">
        <v>940</v>
      </c>
      <c r="N27" s="543" t="s">
        <v>940</v>
      </c>
      <c r="O27" s="543">
        <v>10</v>
      </c>
      <c r="P27" s="543">
        <v>15</v>
      </c>
      <c r="Q27" s="543">
        <v>18</v>
      </c>
      <c r="R27" s="543">
        <v>20</v>
      </c>
      <c r="S27" s="543">
        <v>10</v>
      </c>
      <c r="T27" s="543">
        <v>15</v>
      </c>
      <c r="U27" s="543">
        <v>18</v>
      </c>
      <c r="V27" s="543">
        <v>10</v>
      </c>
      <c r="W27" s="543">
        <v>15</v>
      </c>
      <c r="X27" s="543">
        <v>10</v>
      </c>
      <c r="Y27" s="543" t="s">
        <v>940</v>
      </c>
    </row>
    <row r="28" spans="3:25" x14ac:dyDescent="0.2">
      <c r="C28" s="88" t="str">
        <f>'G-1 All Habitats'!B26</f>
        <v>Heathland and shrub - Blackthorn scrub</v>
      </c>
      <c r="D28" s="543" t="s">
        <v>940</v>
      </c>
      <c r="E28" s="543" t="s">
        <v>940</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940</v>
      </c>
    </row>
    <row r="29" spans="3:25" x14ac:dyDescent="0.2">
      <c r="C29" s="88" t="str">
        <f>'G-1 All Habitats'!B27</f>
        <v>Heathland and shrub - Bramble scrub</v>
      </c>
      <c r="D29" s="543" t="s">
        <v>940</v>
      </c>
      <c r="E29" s="543" t="s">
        <v>940</v>
      </c>
      <c r="F29" s="543">
        <v>1</v>
      </c>
      <c r="G29" s="543" t="s">
        <v>940</v>
      </c>
      <c r="H29" s="543" t="s">
        <v>940</v>
      </c>
      <c r="I29" s="543" t="s">
        <v>940</v>
      </c>
      <c r="J29" s="543" t="s">
        <v>940</v>
      </c>
      <c r="K29" s="543" t="s">
        <v>940</v>
      </c>
      <c r="L29" s="543" t="s">
        <v>940</v>
      </c>
      <c r="M29" s="543" t="s">
        <v>940</v>
      </c>
      <c r="N29" s="543" t="s">
        <v>940</v>
      </c>
      <c r="O29" s="543" t="s">
        <v>940</v>
      </c>
      <c r="P29" s="543" t="s">
        <v>940</v>
      </c>
      <c r="Q29" s="543" t="s">
        <v>940</v>
      </c>
      <c r="R29" s="543" t="s">
        <v>940</v>
      </c>
      <c r="S29" s="543" t="s">
        <v>940</v>
      </c>
      <c r="T29" s="543" t="s">
        <v>940</v>
      </c>
      <c r="U29" s="543" t="s">
        <v>940</v>
      </c>
      <c r="V29" s="543" t="s">
        <v>940</v>
      </c>
      <c r="W29" s="543" t="s">
        <v>940</v>
      </c>
      <c r="X29" s="543" t="s">
        <v>940</v>
      </c>
      <c r="Y29" s="543" t="s">
        <v>940</v>
      </c>
    </row>
    <row r="30" spans="3:25" x14ac:dyDescent="0.2">
      <c r="C30" s="88" t="str">
        <f>'G-1 All Habitats'!B28</f>
        <v>Heathland and shrub - Gorse scrub</v>
      </c>
      <c r="D30" s="543" t="s">
        <v>940</v>
      </c>
      <c r="E30" s="543" t="s">
        <v>940</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940</v>
      </c>
    </row>
    <row r="31" spans="3:25" x14ac:dyDescent="0.2">
      <c r="C31" s="88" t="str">
        <f>'G-1 All Habitats'!B29</f>
        <v>Heathland and shrub - Hawthorn scrub</v>
      </c>
      <c r="D31" s="543" t="s">
        <v>940</v>
      </c>
      <c r="E31" s="543" t="s">
        <v>940</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940</v>
      </c>
    </row>
    <row r="32" spans="3:25" x14ac:dyDescent="0.2">
      <c r="C32" s="88" t="str">
        <f>'G-1 All Habitats'!B30</f>
        <v>Heathland and shrub - Hazel scrub</v>
      </c>
      <c r="D32" s="543" t="s">
        <v>940</v>
      </c>
      <c r="E32" s="543" t="s">
        <v>940</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940</v>
      </c>
    </row>
    <row r="33" spans="3:25" x14ac:dyDescent="0.2">
      <c r="C33" s="88" t="str">
        <f>'G-1 All Habitats'!B31</f>
        <v>Heathland and shrub - Lowland Heathland</v>
      </c>
      <c r="D33" s="543" t="s">
        <v>940</v>
      </c>
      <c r="E33" s="543" t="s">
        <v>940</v>
      </c>
      <c r="F33" s="543">
        <v>10</v>
      </c>
      <c r="G33" s="543">
        <v>15</v>
      </c>
      <c r="H33" s="543">
        <v>20</v>
      </c>
      <c r="I33" s="543">
        <v>25</v>
      </c>
      <c r="J33" s="543" t="s">
        <v>941</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940</v>
      </c>
    </row>
    <row r="34" spans="3:25" x14ac:dyDescent="0.2">
      <c r="C34" s="88" t="str">
        <f>'G-1 All Habitats'!B32</f>
        <v>Heathland and shrub - Mixed scrub</v>
      </c>
      <c r="D34" s="543" t="s">
        <v>940</v>
      </c>
      <c r="E34" s="543" t="s">
        <v>940</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940</v>
      </c>
    </row>
    <row r="35" spans="3:25" x14ac:dyDescent="0.2">
      <c r="C35" s="88" t="str">
        <f>'G-1 All Habitats'!B33</f>
        <v>Heathland and shrub - Mountain heaths and willow scrub</v>
      </c>
      <c r="D35" s="543" t="s">
        <v>940</v>
      </c>
      <c r="E35" s="543" t="s">
        <v>940</v>
      </c>
      <c r="F35" s="543">
        <v>15</v>
      </c>
      <c r="G35" s="543">
        <v>23</v>
      </c>
      <c r="H35" s="543">
        <v>25</v>
      </c>
      <c r="I35" s="543" t="s">
        <v>941</v>
      </c>
      <c r="J35" s="543" t="s">
        <v>941</v>
      </c>
      <c r="K35" s="543">
        <v>20</v>
      </c>
      <c r="L35" s="543" t="s">
        <v>941</v>
      </c>
      <c r="M35" s="543" t="s">
        <v>941</v>
      </c>
      <c r="N35" s="543" t="s">
        <v>941</v>
      </c>
      <c r="O35" s="543">
        <v>20</v>
      </c>
      <c r="P35" s="543" t="s">
        <v>941</v>
      </c>
      <c r="Q35" s="543" t="s">
        <v>941</v>
      </c>
      <c r="R35" s="543" t="s">
        <v>941</v>
      </c>
      <c r="S35" s="543">
        <v>20</v>
      </c>
      <c r="T35" s="543" t="s">
        <v>941</v>
      </c>
      <c r="U35" s="543" t="s">
        <v>941</v>
      </c>
      <c r="V35" s="543">
        <v>20</v>
      </c>
      <c r="W35" s="543" t="s">
        <v>941</v>
      </c>
      <c r="X35" s="543">
        <v>20</v>
      </c>
      <c r="Y35" s="543" t="s">
        <v>940</v>
      </c>
    </row>
    <row r="36" spans="3:25" x14ac:dyDescent="0.2">
      <c r="C36" s="88" t="str">
        <f>'G-1 All Habitats'!B34</f>
        <v>Heathland and shrub - Rhododendron scrub</v>
      </c>
      <c r="D36" s="543" t="s">
        <v>940</v>
      </c>
      <c r="E36" s="543" t="s">
        <v>940</v>
      </c>
      <c r="F36" s="543">
        <v>1</v>
      </c>
      <c r="G36" s="543" t="s">
        <v>940</v>
      </c>
      <c r="H36" s="543" t="s">
        <v>940</v>
      </c>
      <c r="I36" s="543" t="s">
        <v>940</v>
      </c>
      <c r="J36" s="543" t="s">
        <v>940</v>
      </c>
      <c r="K36" s="543" t="s">
        <v>940</v>
      </c>
      <c r="L36" s="543" t="s">
        <v>940</v>
      </c>
      <c r="M36" s="543" t="s">
        <v>940</v>
      </c>
      <c r="N36" s="543" t="s">
        <v>940</v>
      </c>
      <c r="O36" s="543" t="s">
        <v>940</v>
      </c>
      <c r="P36" s="543" t="s">
        <v>940</v>
      </c>
      <c r="Q36" s="543" t="s">
        <v>940</v>
      </c>
      <c r="R36" s="543" t="s">
        <v>940</v>
      </c>
      <c r="S36" s="543" t="s">
        <v>940</v>
      </c>
      <c r="T36" s="543" t="s">
        <v>940</v>
      </c>
      <c r="U36" s="543" t="s">
        <v>940</v>
      </c>
      <c r="V36" s="543" t="s">
        <v>940</v>
      </c>
      <c r="W36" s="543" t="s">
        <v>940</v>
      </c>
      <c r="X36" s="543" t="s">
        <v>940</v>
      </c>
      <c r="Y36" s="543" t="s">
        <v>940</v>
      </c>
    </row>
    <row r="37" spans="3:25" x14ac:dyDescent="0.2">
      <c r="C37" s="88" t="str">
        <f>'G-1 All Habitats'!B35</f>
        <v>Heathland and shrub - Sea buckthorn scrub (Annex 1)</v>
      </c>
      <c r="D37" s="543" t="s">
        <v>940</v>
      </c>
      <c r="E37" s="543" t="s">
        <v>940</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940</v>
      </c>
    </row>
    <row r="38" spans="3:25" x14ac:dyDescent="0.2">
      <c r="C38" s="88" t="str">
        <f>'G-1 All Habitats'!B36</f>
        <v>Heathland and shrub - Sea buckthorn scrub (other)</v>
      </c>
      <c r="D38" s="543" t="s">
        <v>940</v>
      </c>
      <c r="E38" s="543" t="s">
        <v>940</v>
      </c>
      <c r="F38" s="543" t="s">
        <v>940</v>
      </c>
      <c r="G38" s="543" t="s">
        <v>940</v>
      </c>
      <c r="H38" s="543" t="s">
        <v>940</v>
      </c>
      <c r="I38" s="543" t="s">
        <v>940</v>
      </c>
      <c r="J38" s="543" t="s">
        <v>940</v>
      </c>
      <c r="K38" s="543" t="s">
        <v>940</v>
      </c>
      <c r="L38" s="543" t="s">
        <v>940</v>
      </c>
      <c r="M38" s="543" t="s">
        <v>940</v>
      </c>
      <c r="N38" s="543" t="s">
        <v>940</v>
      </c>
      <c r="O38" s="543" t="s">
        <v>940</v>
      </c>
      <c r="P38" s="543" t="s">
        <v>940</v>
      </c>
      <c r="Q38" s="543" t="s">
        <v>940</v>
      </c>
      <c r="R38" s="543" t="s">
        <v>940</v>
      </c>
      <c r="S38" s="543" t="s">
        <v>940</v>
      </c>
      <c r="T38" s="543" t="s">
        <v>940</v>
      </c>
      <c r="U38" s="543" t="s">
        <v>940</v>
      </c>
      <c r="V38" s="543" t="s">
        <v>940</v>
      </c>
      <c r="W38" s="543" t="s">
        <v>940</v>
      </c>
      <c r="X38" s="543" t="s">
        <v>940</v>
      </c>
      <c r="Y38" s="543" t="s">
        <v>940</v>
      </c>
    </row>
    <row r="39" spans="3:25" x14ac:dyDescent="0.2">
      <c r="C39" s="88" t="str">
        <f>'G-1 All Habitats'!B37</f>
        <v>Heathland and shrub - Upland Heathland</v>
      </c>
      <c r="D39" s="543" t="s">
        <v>940</v>
      </c>
      <c r="E39" s="543" t="s">
        <v>940</v>
      </c>
      <c r="F39" s="543">
        <v>10</v>
      </c>
      <c r="G39" s="543">
        <v>15</v>
      </c>
      <c r="H39" s="543">
        <v>20</v>
      </c>
      <c r="I39" s="543">
        <v>25</v>
      </c>
      <c r="J39" s="543">
        <v>30</v>
      </c>
      <c r="K39" s="543" t="s">
        <v>940</v>
      </c>
      <c r="L39" s="543" t="s">
        <v>940</v>
      </c>
      <c r="M39" s="543" t="s">
        <v>940</v>
      </c>
      <c r="N39" s="543" t="s">
        <v>940</v>
      </c>
      <c r="O39" s="543">
        <v>10</v>
      </c>
      <c r="P39" s="543">
        <v>20</v>
      </c>
      <c r="Q39" s="543">
        <v>30</v>
      </c>
      <c r="R39" s="543" t="s">
        <v>941</v>
      </c>
      <c r="S39" s="543">
        <v>10</v>
      </c>
      <c r="T39" s="543">
        <v>20</v>
      </c>
      <c r="U39" s="543">
        <v>30</v>
      </c>
      <c r="V39" s="543">
        <v>10</v>
      </c>
      <c r="W39" s="543">
        <v>20</v>
      </c>
      <c r="X39" s="543">
        <v>10</v>
      </c>
      <c r="Y39" s="543" t="s">
        <v>940</v>
      </c>
    </row>
    <row r="40" spans="3:25" x14ac:dyDescent="0.2">
      <c r="C40" s="88" t="str">
        <f>'G-1 All Habitats'!B38</f>
        <v>Lakes - Aquifer fed naturally fluctuating water bodies</v>
      </c>
      <c r="D40" s="543" t="s">
        <v>940</v>
      </c>
      <c r="E40" s="543" t="s">
        <v>940</v>
      </c>
      <c r="F40" s="543">
        <v>1</v>
      </c>
      <c r="G40" s="543">
        <v>10</v>
      </c>
      <c r="H40" s="543">
        <v>15</v>
      </c>
      <c r="I40" s="543">
        <v>20</v>
      </c>
      <c r="J40" s="543">
        <v>30</v>
      </c>
      <c r="K40" s="543" t="s">
        <v>940</v>
      </c>
      <c r="L40" s="543" t="s">
        <v>940</v>
      </c>
      <c r="M40" s="543" t="s">
        <v>940</v>
      </c>
      <c r="N40" s="543" t="s">
        <v>940</v>
      </c>
      <c r="O40" s="543">
        <v>5</v>
      </c>
      <c r="P40" s="543">
        <v>10</v>
      </c>
      <c r="Q40" s="543">
        <v>15</v>
      </c>
      <c r="R40" s="543">
        <v>30</v>
      </c>
      <c r="S40" s="543">
        <v>5</v>
      </c>
      <c r="T40" s="543">
        <v>15</v>
      </c>
      <c r="U40" s="543">
        <v>25</v>
      </c>
      <c r="V40" s="543">
        <v>5</v>
      </c>
      <c r="W40" s="543">
        <v>20</v>
      </c>
      <c r="X40" s="543">
        <v>5</v>
      </c>
      <c r="Y40" s="543" t="s">
        <v>940</v>
      </c>
    </row>
    <row r="41" spans="3:25" x14ac:dyDescent="0.2">
      <c r="C41" s="88" t="str">
        <f>'G-1 All Habitats'!B40</f>
        <v>Lakes - High alkalinity lakes</v>
      </c>
      <c r="D41" s="543" t="s">
        <v>940</v>
      </c>
      <c r="E41" s="543" t="s">
        <v>940</v>
      </c>
      <c r="F41" s="543">
        <v>2</v>
      </c>
      <c r="G41" s="543">
        <v>3</v>
      </c>
      <c r="H41" s="543">
        <v>5</v>
      </c>
      <c r="I41" s="543">
        <v>7</v>
      </c>
      <c r="J41" s="543">
        <v>10</v>
      </c>
      <c r="K41" s="543" t="s">
        <v>940</v>
      </c>
      <c r="L41" s="543" t="s">
        <v>940</v>
      </c>
      <c r="M41" s="543" t="s">
        <v>940</v>
      </c>
      <c r="N41" s="543" t="s">
        <v>940</v>
      </c>
      <c r="O41" s="543">
        <v>5</v>
      </c>
      <c r="P41" s="543">
        <v>10</v>
      </c>
      <c r="Q41" s="543">
        <v>15</v>
      </c>
      <c r="R41" s="543">
        <v>30</v>
      </c>
      <c r="S41" s="543">
        <v>5</v>
      </c>
      <c r="T41" s="543">
        <v>15</v>
      </c>
      <c r="U41" s="543">
        <v>25</v>
      </c>
      <c r="V41" s="543">
        <v>10</v>
      </c>
      <c r="W41" s="543">
        <v>20</v>
      </c>
      <c r="X41" s="543">
        <v>10</v>
      </c>
      <c r="Y41" s="543" t="s">
        <v>940</v>
      </c>
    </row>
    <row r="42" spans="3:25" x14ac:dyDescent="0.2">
      <c r="C42" s="88" t="str">
        <f>'G-1 All Habitats'!B41</f>
        <v>Lakes - Low alkalinity lakes</v>
      </c>
      <c r="D42" s="543" t="s">
        <v>940</v>
      </c>
      <c r="E42" s="543" t="s">
        <v>940</v>
      </c>
      <c r="F42" s="543">
        <v>5</v>
      </c>
      <c r="G42" s="543">
        <v>10</v>
      </c>
      <c r="H42" s="543">
        <v>15</v>
      </c>
      <c r="I42" s="543">
        <v>20</v>
      </c>
      <c r="J42" s="543">
        <v>30</v>
      </c>
      <c r="K42" s="543" t="s">
        <v>940</v>
      </c>
      <c r="L42" s="543" t="s">
        <v>940</v>
      </c>
      <c r="M42" s="543" t="s">
        <v>940</v>
      </c>
      <c r="N42" s="543" t="s">
        <v>940</v>
      </c>
      <c r="O42" s="543">
        <v>5</v>
      </c>
      <c r="P42" s="543">
        <v>10</v>
      </c>
      <c r="Q42" s="543">
        <v>15</v>
      </c>
      <c r="R42" s="543">
        <v>20</v>
      </c>
      <c r="S42" s="543">
        <v>5</v>
      </c>
      <c r="T42" s="543">
        <v>10</v>
      </c>
      <c r="U42" s="543">
        <v>15</v>
      </c>
      <c r="V42" s="543">
        <v>5</v>
      </c>
      <c r="W42" s="543">
        <v>10</v>
      </c>
      <c r="X42" s="543">
        <v>5</v>
      </c>
      <c r="Y42" s="543" t="s">
        <v>940</v>
      </c>
    </row>
    <row r="43" spans="3:25" x14ac:dyDescent="0.2">
      <c r="C43" s="88" t="str">
        <f>'G-1 All Habitats'!B42</f>
        <v>Lakes - Marl Lakes</v>
      </c>
      <c r="D43" s="543" t="s">
        <v>940</v>
      </c>
      <c r="E43" s="543" t="s">
        <v>940</v>
      </c>
      <c r="F43" s="543">
        <v>5</v>
      </c>
      <c r="G43" s="543">
        <v>7</v>
      </c>
      <c r="H43" s="543">
        <v>10</v>
      </c>
      <c r="I43" s="543">
        <v>15</v>
      </c>
      <c r="J43" s="543">
        <v>20</v>
      </c>
      <c r="K43" s="543" t="s">
        <v>940</v>
      </c>
      <c r="L43" s="543" t="s">
        <v>940</v>
      </c>
      <c r="M43" s="543" t="s">
        <v>940</v>
      </c>
      <c r="N43" s="543" t="s">
        <v>940</v>
      </c>
      <c r="O43" s="543">
        <v>5</v>
      </c>
      <c r="P43" s="543">
        <v>10</v>
      </c>
      <c r="Q43" s="543">
        <v>15</v>
      </c>
      <c r="R43" s="543">
        <v>30</v>
      </c>
      <c r="S43" s="543">
        <v>5</v>
      </c>
      <c r="T43" s="543">
        <v>15</v>
      </c>
      <c r="U43" s="543">
        <v>25</v>
      </c>
      <c r="V43" s="543">
        <v>10</v>
      </c>
      <c r="W43" s="543">
        <v>20</v>
      </c>
      <c r="X43" s="543">
        <v>10</v>
      </c>
      <c r="Y43" s="543" t="s">
        <v>940</v>
      </c>
    </row>
    <row r="44" spans="3:25" x14ac:dyDescent="0.2">
      <c r="C44" s="88" t="str">
        <f>'G-1 All Habitats'!B43</f>
        <v>Lakes - Moderate alkalinity lakes</v>
      </c>
      <c r="D44" s="543" t="s">
        <v>940</v>
      </c>
      <c r="E44" s="543" t="s">
        <v>940</v>
      </c>
      <c r="F44" s="543">
        <v>5</v>
      </c>
      <c r="G44" s="543">
        <v>7</v>
      </c>
      <c r="H44" s="543">
        <v>10</v>
      </c>
      <c r="I44" s="543">
        <v>15</v>
      </c>
      <c r="J44" s="543">
        <v>20</v>
      </c>
      <c r="K44" s="543" t="s">
        <v>940</v>
      </c>
      <c r="L44" s="543" t="s">
        <v>940</v>
      </c>
      <c r="M44" s="543" t="s">
        <v>940</v>
      </c>
      <c r="N44" s="543" t="s">
        <v>940</v>
      </c>
      <c r="O44" s="543">
        <v>5</v>
      </c>
      <c r="P44" s="543">
        <v>10</v>
      </c>
      <c r="Q44" s="543">
        <v>15</v>
      </c>
      <c r="R44" s="543">
        <v>30</v>
      </c>
      <c r="S44" s="543">
        <v>5</v>
      </c>
      <c r="T44" s="543">
        <v>15</v>
      </c>
      <c r="U44" s="543">
        <v>25</v>
      </c>
      <c r="V44" s="543">
        <v>10</v>
      </c>
      <c r="W44" s="543">
        <v>20</v>
      </c>
      <c r="X44" s="543">
        <v>10</v>
      </c>
      <c r="Y44" s="543" t="s">
        <v>940</v>
      </c>
    </row>
    <row r="45" spans="3:25" x14ac:dyDescent="0.2">
      <c r="C45" s="88" t="str">
        <f>'G-1 All Habitats'!B44</f>
        <v>Lakes - Peat Lakes</v>
      </c>
      <c r="D45" s="543" t="s">
        <v>940</v>
      </c>
      <c r="E45" s="543" t="s">
        <v>940</v>
      </c>
      <c r="F45" s="543">
        <v>5</v>
      </c>
      <c r="G45" s="543">
        <v>10</v>
      </c>
      <c r="H45" s="543">
        <v>15</v>
      </c>
      <c r="I45" s="543">
        <v>20</v>
      </c>
      <c r="J45" s="543">
        <v>30</v>
      </c>
      <c r="K45" s="543" t="s">
        <v>940</v>
      </c>
      <c r="L45" s="543" t="s">
        <v>940</v>
      </c>
      <c r="M45" s="543" t="s">
        <v>940</v>
      </c>
      <c r="N45" s="543" t="s">
        <v>940</v>
      </c>
      <c r="O45" s="543">
        <v>5</v>
      </c>
      <c r="P45" s="543">
        <v>10</v>
      </c>
      <c r="Q45" s="543">
        <v>15</v>
      </c>
      <c r="R45" s="543">
        <v>30</v>
      </c>
      <c r="S45" s="543">
        <v>5</v>
      </c>
      <c r="T45" s="543">
        <v>15</v>
      </c>
      <c r="U45" s="543">
        <v>25</v>
      </c>
      <c r="V45" s="543">
        <v>10</v>
      </c>
      <c r="W45" s="543">
        <v>20</v>
      </c>
      <c r="X45" s="543">
        <v>10</v>
      </c>
      <c r="Y45" s="543" t="s">
        <v>940</v>
      </c>
    </row>
    <row r="46" spans="3:25" x14ac:dyDescent="0.2">
      <c r="C46" s="88" t="str">
        <f>'G-1 All Habitats'!B45</f>
        <v>Lakes - Ponds (Priority Habitat)</v>
      </c>
      <c r="D46" s="543" t="s">
        <v>940</v>
      </c>
      <c r="E46" s="543" t="s">
        <v>940</v>
      </c>
      <c r="F46" s="543">
        <v>2</v>
      </c>
      <c r="G46" s="543">
        <v>3</v>
      </c>
      <c r="H46" s="543">
        <v>5</v>
      </c>
      <c r="I46" s="543">
        <v>7</v>
      </c>
      <c r="J46" s="543">
        <v>10</v>
      </c>
      <c r="K46" s="543" t="s">
        <v>940</v>
      </c>
      <c r="L46" s="543" t="s">
        <v>940</v>
      </c>
      <c r="M46" s="543" t="s">
        <v>940</v>
      </c>
      <c r="N46" s="543" t="s">
        <v>940</v>
      </c>
      <c r="O46" s="543">
        <v>2</v>
      </c>
      <c r="P46" s="543">
        <v>4</v>
      </c>
      <c r="Q46" s="543">
        <v>6</v>
      </c>
      <c r="R46" s="543">
        <v>8</v>
      </c>
      <c r="S46" s="543">
        <v>2</v>
      </c>
      <c r="T46" s="543">
        <v>4</v>
      </c>
      <c r="U46" s="543">
        <v>6</v>
      </c>
      <c r="V46" s="543">
        <v>2</v>
      </c>
      <c r="W46" s="543">
        <v>4</v>
      </c>
      <c r="X46" s="543">
        <v>2</v>
      </c>
      <c r="Y46" s="543" t="s">
        <v>940</v>
      </c>
    </row>
    <row r="47" spans="3:25" x14ac:dyDescent="0.2">
      <c r="C47" s="88" t="str">
        <f>'G-1 All Habitats'!B46</f>
        <v>Lakes - Ponds (Non- Priority Habitat)</v>
      </c>
      <c r="D47" s="543" t="s">
        <v>940</v>
      </c>
      <c r="E47" s="543" t="s">
        <v>940</v>
      </c>
      <c r="F47" s="543">
        <v>1</v>
      </c>
      <c r="G47" s="543">
        <v>2</v>
      </c>
      <c r="H47" s="543">
        <v>3</v>
      </c>
      <c r="I47" s="543">
        <v>4</v>
      </c>
      <c r="J47" s="543">
        <v>5</v>
      </c>
      <c r="K47" s="543" t="s">
        <v>940</v>
      </c>
      <c r="L47" s="543" t="s">
        <v>940</v>
      </c>
      <c r="M47" s="543" t="s">
        <v>940</v>
      </c>
      <c r="N47" s="543" t="s">
        <v>940</v>
      </c>
      <c r="O47" s="543">
        <v>2</v>
      </c>
      <c r="P47" s="543">
        <v>4</v>
      </c>
      <c r="Q47" s="543">
        <v>6</v>
      </c>
      <c r="R47" s="543">
        <v>8</v>
      </c>
      <c r="S47" s="543">
        <v>2</v>
      </c>
      <c r="T47" s="543">
        <v>4</v>
      </c>
      <c r="U47" s="543">
        <v>6</v>
      </c>
      <c r="V47" s="543">
        <v>2</v>
      </c>
      <c r="W47" s="543">
        <v>4</v>
      </c>
      <c r="X47" s="543">
        <v>2</v>
      </c>
      <c r="Y47" s="543" t="s">
        <v>940</v>
      </c>
    </row>
    <row r="48" spans="3:25" x14ac:dyDescent="0.2">
      <c r="C48" s="88" t="str">
        <f>'G-1 All Habitats'!B47</f>
        <v>Lakes - Reservoirs</v>
      </c>
      <c r="D48" s="543" t="s">
        <v>940</v>
      </c>
      <c r="E48" s="543" t="s">
        <v>940</v>
      </c>
      <c r="F48" s="543">
        <v>1</v>
      </c>
      <c r="G48" s="543">
        <v>3</v>
      </c>
      <c r="H48" s="543">
        <v>5</v>
      </c>
      <c r="I48" s="543">
        <v>7</v>
      </c>
      <c r="J48" s="543">
        <v>10</v>
      </c>
      <c r="K48" s="543" t="s">
        <v>940</v>
      </c>
      <c r="L48" s="543" t="s">
        <v>940</v>
      </c>
      <c r="M48" s="543" t="s">
        <v>940</v>
      </c>
      <c r="N48" s="543" t="s">
        <v>940</v>
      </c>
      <c r="O48" s="543">
        <v>5</v>
      </c>
      <c r="P48" s="543">
        <v>10</v>
      </c>
      <c r="Q48" s="543">
        <v>15</v>
      </c>
      <c r="R48" s="543">
        <v>30</v>
      </c>
      <c r="S48" s="543">
        <v>5</v>
      </c>
      <c r="T48" s="543">
        <v>15</v>
      </c>
      <c r="U48" s="543">
        <v>25</v>
      </c>
      <c r="V48" s="543">
        <v>10</v>
      </c>
      <c r="W48" s="543">
        <v>20</v>
      </c>
      <c r="X48" s="543">
        <v>10</v>
      </c>
      <c r="Y48" s="543" t="s">
        <v>940</v>
      </c>
    </row>
    <row r="49" spans="3:25" x14ac:dyDescent="0.2">
      <c r="C49" s="88" t="str">
        <f>'G-1 All Habitats'!B48</f>
        <v>Lakes - Temporary lakes, ponds and pools</v>
      </c>
      <c r="D49" s="543" t="s">
        <v>940</v>
      </c>
      <c r="E49" s="543" t="s">
        <v>940</v>
      </c>
      <c r="F49" s="543">
        <v>2</v>
      </c>
      <c r="G49" s="543">
        <v>3</v>
      </c>
      <c r="H49" s="543">
        <v>5</v>
      </c>
      <c r="I49" s="543">
        <v>7</v>
      </c>
      <c r="J49" s="543">
        <v>10</v>
      </c>
      <c r="K49" s="543" t="s">
        <v>940</v>
      </c>
      <c r="L49" s="543" t="s">
        <v>940</v>
      </c>
      <c r="M49" s="543" t="s">
        <v>940</v>
      </c>
      <c r="N49" s="543" t="s">
        <v>940</v>
      </c>
      <c r="O49" s="543">
        <v>2</v>
      </c>
      <c r="P49" s="543">
        <v>4</v>
      </c>
      <c r="Q49" s="543">
        <v>6</v>
      </c>
      <c r="R49" s="543">
        <v>8</v>
      </c>
      <c r="S49" s="543">
        <v>2</v>
      </c>
      <c r="T49" s="543">
        <v>4</v>
      </c>
      <c r="U49" s="543">
        <v>6</v>
      </c>
      <c r="V49" s="543">
        <v>2</v>
      </c>
      <c r="W49" s="543">
        <v>4</v>
      </c>
      <c r="X49" s="543">
        <v>2</v>
      </c>
      <c r="Y49" s="543" t="s">
        <v>940</v>
      </c>
    </row>
    <row r="50" spans="3:25" x14ac:dyDescent="0.2">
      <c r="C50" s="88" t="str">
        <f>'G-1 All Habitats'!B49</f>
        <v>Sparsely vegetated land - Calaminarian grasslands</v>
      </c>
      <c r="D50" s="543" t="s">
        <v>940</v>
      </c>
      <c r="E50" s="543" t="s">
        <v>940</v>
      </c>
      <c r="F50" s="543">
        <v>2</v>
      </c>
      <c r="G50" s="543">
        <v>3</v>
      </c>
      <c r="H50" s="543">
        <v>5</v>
      </c>
      <c r="I50" s="543">
        <v>7</v>
      </c>
      <c r="J50" s="543">
        <v>10</v>
      </c>
      <c r="K50" s="543" t="s">
        <v>940</v>
      </c>
      <c r="L50" s="543" t="s">
        <v>940</v>
      </c>
      <c r="M50" s="543" t="s">
        <v>940</v>
      </c>
      <c r="N50" s="543" t="s">
        <v>940</v>
      </c>
      <c r="O50" s="543">
        <v>1</v>
      </c>
      <c r="P50" s="543">
        <v>3</v>
      </c>
      <c r="Q50" s="543">
        <v>5</v>
      </c>
      <c r="R50" s="543">
        <v>8</v>
      </c>
      <c r="S50" s="543">
        <v>1</v>
      </c>
      <c r="T50" s="543">
        <v>4</v>
      </c>
      <c r="U50" s="543">
        <v>7</v>
      </c>
      <c r="V50" s="543">
        <v>2</v>
      </c>
      <c r="W50" s="543">
        <v>5</v>
      </c>
      <c r="X50" s="543">
        <v>3</v>
      </c>
      <c r="Y50" s="543" t="s">
        <v>940</v>
      </c>
    </row>
    <row r="51" spans="3:25" x14ac:dyDescent="0.2">
      <c r="C51" s="88" t="str">
        <f>'G-1 All Habitats'!B50</f>
        <v>Sparsely vegetated land - Coastal sand dunes</v>
      </c>
      <c r="D51" s="543" t="s">
        <v>940</v>
      </c>
      <c r="E51" s="543" t="s">
        <v>940</v>
      </c>
      <c r="F51" s="543">
        <v>5</v>
      </c>
      <c r="G51" s="543">
        <v>7</v>
      </c>
      <c r="H51" s="543">
        <v>10</v>
      </c>
      <c r="I51" s="543">
        <v>15</v>
      </c>
      <c r="J51" s="543">
        <v>20</v>
      </c>
      <c r="K51" s="543" t="s">
        <v>940</v>
      </c>
      <c r="L51" s="543" t="s">
        <v>940</v>
      </c>
      <c r="M51" s="543" t="s">
        <v>940</v>
      </c>
      <c r="N51" s="543" t="s">
        <v>940</v>
      </c>
      <c r="O51" s="543">
        <v>5</v>
      </c>
      <c r="P51" s="543">
        <v>8</v>
      </c>
      <c r="Q51" s="543">
        <v>15</v>
      </c>
      <c r="R51" s="543">
        <v>20</v>
      </c>
      <c r="S51" s="543">
        <v>5</v>
      </c>
      <c r="T51" s="543">
        <v>10</v>
      </c>
      <c r="U51" s="543">
        <v>18</v>
      </c>
      <c r="V51" s="543">
        <v>7</v>
      </c>
      <c r="W51" s="543">
        <v>12</v>
      </c>
      <c r="X51" s="543">
        <v>8</v>
      </c>
      <c r="Y51" s="543" t="s">
        <v>940</v>
      </c>
    </row>
    <row r="52" spans="3:25" x14ac:dyDescent="0.2">
      <c r="C52" s="88" t="str">
        <f>'G-1 All Habitats'!B51</f>
        <v>Sparsely vegetated land - Coastal vegetated shingle</v>
      </c>
      <c r="D52" s="543" t="s">
        <v>940</v>
      </c>
      <c r="E52" s="543" t="s">
        <v>940</v>
      </c>
      <c r="F52" s="543">
        <v>5</v>
      </c>
      <c r="G52" s="543">
        <v>7</v>
      </c>
      <c r="H52" s="543">
        <v>10</v>
      </c>
      <c r="I52" s="543">
        <v>15</v>
      </c>
      <c r="J52" s="543">
        <v>20</v>
      </c>
      <c r="K52" s="543" t="s">
        <v>940</v>
      </c>
      <c r="L52" s="543" t="s">
        <v>940</v>
      </c>
      <c r="M52" s="543" t="s">
        <v>940</v>
      </c>
      <c r="N52" s="543" t="s">
        <v>940</v>
      </c>
      <c r="O52" s="543">
        <v>5</v>
      </c>
      <c r="P52" s="543">
        <v>8</v>
      </c>
      <c r="Q52" s="543">
        <v>15</v>
      </c>
      <c r="R52" s="543">
        <v>20</v>
      </c>
      <c r="S52" s="543">
        <v>5</v>
      </c>
      <c r="T52" s="543">
        <v>10</v>
      </c>
      <c r="U52" s="543">
        <v>18</v>
      </c>
      <c r="V52" s="543">
        <v>7</v>
      </c>
      <c r="W52" s="543">
        <v>12</v>
      </c>
      <c r="X52" s="543">
        <v>8</v>
      </c>
      <c r="Y52" s="543" t="s">
        <v>940</v>
      </c>
    </row>
    <row r="53" spans="3:25" x14ac:dyDescent="0.2">
      <c r="C53" s="88" t="str">
        <f>'G-1 All Habitats'!B52</f>
        <v>Sparsely vegetated land - Ruderal/Ephemeral</v>
      </c>
      <c r="D53" s="543" t="s">
        <v>940</v>
      </c>
      <c r="E53" s="543" t="s">
        <v>940</v>
      </c>
      <c r="F53" s="543" t="s">
        <v>940</v>
      </c>
      <c r="G53" s="543" t="s">
        <v>940</v>
      </c>
      <c r="H53" s="543" t="s">
        <v>940</v>
      </c>
      <c r="I53" s="543" t="s">
        <v>940</v>
      </c>
      <c r="J53" s="543" t="s">
        <v>940</v>
      </c>
      <c r="K53" s="543" t="s">
        <v>940</v>
      </c>
      <c r="L53" s="543" t="s">
        <v>940</v>
      </c>
      <c r="M53" s="543" t="s">
        <v>940</v>
      </c>
      <c r="N53" s="543" t="s">
        <v>940</v>
      </c>
      <c r="O53" s="543">
        <v>1</v>
      </c>
      <c r="P53" s="543">
        <v>2</v>
      </c>
      <c r="Q53" s="543">
        <v>3</v>
      </c>
      <c r="R53" s="543">
        <v>5</v>
      </c>
      <c r="S53" s="543">
        <v>1</v>
      </c>
      <c r="T53" s="543">
        <v>2</v>
      </c>
      <c r="U53" s="543">
        <v>3</v>
      </c>
      <c r="V53" s="543">
        <v>1</v>
      </c>
      <c r="W53" s="543">
        <v>2</v>
      </c>
      <c r="X53" s="543">
        <v>1</v>
      </c>
      <c r="Y53" s="543" t="s">
        <v>940</v>
      </c>
    </row>
    <row r="54" spans="3:25" x14ac:dyDescent="0.2">
      <c r="C54" s="88" t="str">
        <f>'G-1 All Habitats'!B53</f>
        <v>Sparsely vegetated land - Inland rock outcrop and scree habitats</v>
      </c>
      <c r="D54" s="543" t="s">
        <v>940</v>
      </c>
      <c r="E54" s="543" t="s">
        <v>940</v>
      </c>
      <c r="F54" s="543">
        <v>10</v>
      </c>
      <c r="G54" s="543">
        <v>15</v>
      </c>
      <c r="H54" s="543">
        <v>20</v>
      </c>
      <c r="I54" s="543">
        <v>25</v>
      </c>
      <c r="J54" s="543" t="s">
        <v>941</v>
      </c>
      <c r="K54" s="543" t="s">
        <v>940</v>
      </c>
      <c r="L54" s="543" t="s">
        <v>940</v>
      </c>
      <c r="M54" s="543" t="s">
        <v>940</v>
      </c>
      <c r="N54" s="543" t="s">
        <v>940</v>
      </c>
      <c r="O54" s="543">
        <v>10</v>
      </c>
      <c r="P54" s="543">
        <v>15</v>
      </c>
      <c r="Q54" s="543">
        <v>25</v>
      </c>
      <c r="R54" s="543" t="s">
        <v>941</v>
      </c>
      <c r="S54" s="543">
        <v>20</v>
      </c>
      <c r="T54" s="543">
        <v>25</v>
      </c>
      <c r="U54" s="543">
        <v>27</v>
      </c>
      <c r="V54" s="543">
        <v>15</v>
      </c>
      <c r="W54" s="543">
        <v>20</v>
      </c>
      <c r="X54" s="543">
        <v>15</v>
      </c>
      <c r="Y54" s="543" t="s">
        <v>940</v>
      </c>
    </row>
    <row r="55" spans="3:25" x14ac:dyDescent="0.2">
      <c r="C55" s="88" t="str">
        <f>'G-1 All Habitats'!B54</f>
        <v>Sparsely vegetated land - Limestone pavement</v>
      </c>
      <c r="D55" s="543" t="s">
        <v>940</v>
      </c>
      <c r="E55" s="543" t="s">
        <v>940</v>
      </c>
      <c r="F55" s="543" t="s">
        <v>941</v>
      </c>
      <c r="G55" s="543" t="s">
        <v>941</v>
      </c>
      <c r="H55" s="543" t="s">
        <v>941</v>
      </c>
      <c r="I55" s="543" t="s">
        <v>941</v>
      </c>
      <c r="J55" s="543" t="s">
        <v>941</v>
      </c>
      <c r="K55" s="543" t="s">
        <v>940</v>
      </c>
      <c r="L55" s="543" t="s">
        <v>940</v>
      </c>
      <c r="M55" s="543" t="s">
        <v>940</v>
      </c>
      <c r="N55" s="543" t="s">
        <v>940</v>
      </c>
      <c r="O55" s="543">
        <v>5</v>
      </c>
      <c r="P55" s="543">
        <v>10</v>
      </c>
      <c r="Q55" s="543">
        <v>15</v>
      </c>
      <c r="R55" s="543">
        <v>20</v>
      </c>
      <c r="S55" s="543">
        <v>5</v>
      </c>
      <c r="T55" s="543">
        <v>10</v>
      </c>
      <c r="U55" s="543">
        <v>15</v>
      </c>
      <c r="V55" s="543">
        <v>5</v>
      </c>
      <c r="W55" s="543">
        <v>10</v>
      </c>
      <c r="X55" s="543">
        <v>5</v>
      </c>
      <c r="Y55" s="543" t="s">
        <v>940</v>
      </c>
    </row>
    <row r="56" spans="3:25" x14ac:dyDescent="0.2">
      <c r="C56" s="88" t="str">
        <f>'G-1 All Habitats'!B55</f>
        <v>Sparsely vegetated land - Maritime cliff and slopes</v>
      </c>
      <c r="D56" s="543" t="s">
        <v>940</v>
      </c>
      <c r="E56" s="543" t="s">
        <v>940</v>
      </c>
      <c r="F56" s="543">
        <v>10</v>
      </c>
      <c r="G56" s="543">
        <v>15</v>
      </c>
      <c r="H56" s="543">
        <v>20</v>
      </c>
      <c r="I56" s="543">
        <v>25</v>
      </c>
      <c r="J56" s="543" t="s">
        <v>941</v>
      </c>
      <c r="K56" s="543" t="s">
        <v>940</v>
      </c>
      <c r="L56" s="543" t="s">
        <v>940</v>
      </c>
      <c r="M56" s="543" t="s">
        <v>940</v>
      </c>
      <c r="N56" s="543" t="s">
        <v>940</v>
      </c>
      <c r="O56" s="543">
        <v>5</v>
      </c>
      <c r="P56" s="543">
        <v>8</v>
      </c>
      <c r="Q56" s="543">
        <v>15</v>
      </c>
      <c r="R56" s="543">
        <v>20</v>
      </c>
      <c r="S56" s="543">
        <v>5</v>
      </c>
      <c r="T56" s="543">
        <v>10</v>
      </c>
      <c r="U56" s="543">
        <v>18</v>
      </c>
      <c r="V56" s="543">
        <v>7</v>
      </c>
      <c r="W56" s="543">
        <v>12</v>
      </c>
      <c r="X56" s="543">
        <v>8</v>
      </c>
      <c r="Y56" s="543" t="s">
        <v>940</v>
      </c>
    </row>
    <row r="57" spans="3:25" x14ac:dyDescent="0.2">
      <c r="C57" s="88" t="str">
        <f>'G-1 All Habitats'!B56</f>
        <v>Sparsely vegetated land - Other inland rock and scree</v>
      </c>
      <c r="D57" s="543" t="s">
        <v>940</v>
      </c>
      <c r="E57" s="543" t="s">
        <v>940</v>
      </c>
      <c r="F57" s="543">
        <v>3</v>
      </c>
      <c r="G57" s="543">
        <v>5</v>
      </c>
      <c r="H57" s="543">
        <v>10</v>
      </c>
      <c r="I57" s="543">
        <v>15</v>
      </c>
      <c r="J57" s="543">
        <v>20</v>
      </c>
      <c r="K57" s="543" t="s">
        <v>940</v>
      </c>
      <c r="L57" s="543" t="s">
        <v>940</v>
      </c>
      <c r="M57" s="543" t="s">
        <v>940</v>
      </c>
      <c r="N57" s="543" t="s">
        <v>940</v>
      </c>
      <c r="O57" s="543">
        <v>5</v>
      </c>
      <c r="P57" s="543">
        <v>10</v>
      </c>
      <c r="Q57" s="543">
        <v>15</v>
      </c>
      <c r="R57" s="543">
        <v>20</v>
      </c>
      <c r="S57" s="543">
        <v>5</v>
      </c>
      <c r="T57" s="543">
        <v>10</v>
      </c>
      <c r="U57" s="543">
        <v>15</v>
      </c>
      <c r="V57" s="543">
        <v>5</v>
      </c>
      <c r="W57" s="543">
        <v>10</v>
      </c>
      <c r="X57" s="543">
        <v>5</v>
      </c>
      <c r="Y57" s="543" t="s">
        <v>940</v>
      </c>
    </row>
    <row r="58" spans="3:25" x14ac:dyDescent="0.2">
      <c r="C58" s="88" t="str">
        <f>'G-1 All Habitats'!B57</f>
        <v>Urban - Allotments</v>
      </c>
      <c r="D58" s="543" t="s">
        <v>940</v>
      </c>
      <c r="E58" s="543" t="s">
        <v>940</v>
      </c>
      <c r="F58" s="543">
        <v>1</v>
      </c>
      <c r="G58" s="543">
        <v>1</v>
      </c>
      <c r="H58" s="543">
        <v>1</v>
      </c>
      <c r="I58" s="543">
        <v>1</v>
      </c>
      <c r="J58" s="543">
        <v>1</v>
      </c>
      <c r="K58" s="543" t="s">
        <v>940</v>
      </c>
      <c r="L58" s="543" t="s">
        <v>940</v>
      </c>
      <c r="M58" s="543" t="s">
        <v>940</v>
      </c>
      <c r="N58" s="543" t="s">
        <v>940</v>
      </c>
      <c r="O58" s="543">
        <v>1</v>
      </c>
      <c r="P58" s="543">
        <v>1</v>
      </c>
      <c r="Q58" s="543">
        <v>1</v>
      </c>
      <c r="R58" s="543">
        <v>1</v>
      </c>
      <c r="S58" s="543">
        <v>1</v>
      </c>
      <c r="T58" s="543">
        <v>1</v>
      </c>
      <c r="U58" s="543">
        <v>1</v>
      </c>
      <c r="V58" s="543">
        <v>1</v>
      </c>
      <c r="W58" s="543">
        <v>1</v>
      </c>
      <c r="X58" s="543">
        <v>1</v>
      </c>
      <c r="Y58" s="543" t="s">
        <v>940</v>
      </c>
    </row>
    <row r="59" spans="3:25" x14ac:dyDescent="0.2">
      <c r="C59" s="88" t="str">
        <f>'G-1 All Habitats'!B39</f>
        <v>Lakes - Ornamental lake or pond</v>
      </c>
      <c r="D59" s="543" t="s">
        <v>940</v>
      </c>
      <c r="E59" s="543" t="s">
        <v>940</v>
      </c>
      <c r="F59" s="543">
        <v>1</v>
      </c>
      <c r="G59" s="543">
        <v>2</v>
      </c>
      <c r="H59" s="543">
        <v>3</v>
      </c>
      <c r="I59" s="543">
        <v>4</v>
      </c>
      <c r="J59" s="543">
        <v>5</v>
      </c>
      <c r="K59" s="543" t="s">
        <v>940</v>
      </c>
      <c r="L59" s="543" t="s">
        <v>940</v>
      </c>
      <c r="M59" s="543" t="s">
        <v>940</v>
      </c>
      <c r="N59" s="543" t="s">
        <v>940</v>
      </c>
      <c r="O59" s="543">
        <v>2</v>
      </c>
      <c r="P59" s="543">
        <v>4</v>
      </c>
      <c r="Q59" s="543">
        <v>6</v>
      </c>
      <c r="R59" s="543">
        <v>8</v>
      </c>
      <c r="S59" s="543">
        <v>2</v>
      </c>
      <c r="T59" s="543">
        <v>4</v>
      </c>
      <c r="U59" s="543">
        <v>6</v>
      </c>
      <c r="V59" s="543">
        <v>2</v>
      </c>
      <c r="W59" s="543">
        <v>4</v>
      </c>
      <c r="X59" s="543">
        <v>2</v>
      </c>
      <c r="Y59" s="543" t="s">
        <v>940</v>
      </c>
    </row>
    <row r="60" spans="3:25" x14ac:dyDescent="0.2">
      <c r="C60" s="88" t="str">
        <f>'G-1 All Habitats'!B58</f>
        <v>Urban - Artificial unvegetated, unsealed surface</v>
      </c>
      <c r="D60" s="543" t="s">
        <v>940</v>
      </c>
      <c r="E60" s="543" t="s">
        <v>940</v>
      </c>
      <c r="F60" s="543" t="s">
        <v>940</v>
      </c>
      <c r="G60" s="543" t="s">
        <v>940</v>
      </c>
      <c r="H60" s="543" t="s">
        <v>940</v>
      </c>
      <c r="I60" s="543" t="s">
        <v>940</v>
      </c>
      <c r="J60" s="543" t="s">
        <v>940</v>
      </c>
      <c r="K60" s="543" t="s">
        <v>940</v>
      </c>
      <c r="L60" s="543" t="s">
        <v>940</v>
      </c>
      <c r="M60" s="543" t="s">
        <v>940</v>
      </c>
      <c r="N60" s="543" t="s">
        <v>940</v>
      </c>
      <c r="O60" s="543" t="s">
        <v>940</v>
      </c>
      <c r="P60" s="543" t="s">
        <v>940</v>
      </c>
      <c r="Q60" s="543" t="s">
        <v>940</v>
      </c>
      <c r="R60" s="543" t="s">
        <v>940</v>
      </c>
      <c r="S60" s="543" t="s">
        <v>940</v>
      </c>
      <c r="T60" s="543" t="s">
        <v>940</v>
      </c>
      <c r="U60" s="543" t="s">
        <v>940</v>
      </c>
      <c r="V60" s="543" t="s">
        <v>940</v>
      </c>
      <c r="W60" s="543" t="s">
        <v>940</v>
      </c>
      <c r="X60" s="543" t="s">
        <v>940</v>
      </c>
      <c r="Y60" s="543" t="s">
        <v>940</v>
      </c>
    </row>
    <row r="61" spans="3:25" x14ac:dyDescent="0.2">
      <c r="C61" s="88" t="str">
        <f>'G-1 All Habitats'!B59</f>
        <v>Urban - Bioswale</v>
      </c>
      <c r="D61" s="543" t="s">
        <v>940</v>
      </c>
      <c r="E61" s="543" t="s">
        <v>940</v>
      </c>
      <c r="F61" s="543">
        <v>1</v>
      </c>
      <c r="G61" s="543">
        <v>1</v>
      </c>
      <c r="H61" s="543">
        <v>1</v>
      </c>
      <c r="I61" s="543">
        <v>2</v>
      </c>
      <c r="J61" s="543">
        <v>3</v>
      </c>
      <c r="K61" s="543" t="s">
        <v>940</v>
      </c>
      <c r="L61" s="543" t="s">
        <v>940</v>
      </c>
      <c r="M61" s="543" t="s">
        <v>940</v>
      </c>
      <c r="N61" s="543" t="s">
        <v>940</v>
      </c>
      <c r="O61" s="543">
        <v>1</v>
      </c>
      <c r="P61" s="543">
        <v>2</v>
      </c>
      <c r="Q61" s="543">
        <v>2</v>
      </c>
      <c r="R61" s="543">
        <v>3</v>
      </c>
      <c r="S61" s="543">
        <v>1</v>
      </c>
      <c r="T61" s="543">
        <v>3</v>
      </c>
      <c r="U61" s="543">
        <v>3</v>
      </c>
      <c r="V61" s="543">
        <v>2</v>
      </c>
      <c r="W61" s="543">
        <v>2</v>
      </c>
      <c r="X61" s="543">
        <v>2</v>
      </c>
      <c r="Y61" s="543" t="s">
        <v>940</v>
      </c>
    </row>
    <row r="62" spans="3:25" x14ac:dyDescent="0.2">
      <c r="C62" s="88" t="str">
        <f>'G-1 All Habitats'!B60</f>
        <v>Urban - Intensive green roof</v>
      </c>
      <c r="D62" s="543" t="s">
        <v>940</v>
      </c>
      <c r="E62" s="543" t="s">
        <v>940</v>
      </c>
      <c r="F62" s="543">
        <v>1</v>
      </c>
      <c r="G62" s="543">
        <v>2</v>
      </c>
      <c r="H62" s="543">
        <v>3</v>
      </c>
      <c r="I62" s="543">
        <v>4</v>
      </c>
      <c r="J62" s="543">
        <v>5</v>
      </c>
      <c r="K62" s="543" t="s">
        <v>940</v>
      </c>
      <c r="L62" s="543" t="s">
        <v>940</v>
      </c>
      <c r="M62" s="543" t="s">
        <v>940</v>
      </c>
      <c r="N62" s="543" t="s">
        <v>940</v>
      </c>
      <c r="O62" s="543">
        <v>1</v>
      </c>
      <c r="P62" s="543">
        <v>2</v>
      </c>
      <c r="Q62" s="543">
        <v>3</v>
      </c>
      <c r="R62" s="543">
        <v>5</v>
      </c>
      <c r="S62" s="543">
        <v>1</v>
      </c>
      <c r="T62" s="543">
        <v>2</v>
      </c>
      <c r="U62" s="543">
        <v>3</v>
      </c>
      <c r="V62" s="543">
        <v>1</v>
      </c>
      <c r="W62" s="543">
        <v>2</v>
      </c>
      <c r="X62" s="543">
        <v>1</v>
      </c>
      <c r="Y62" s="543" t="s">
        <v>940</v>
      </c>
    </row>
    <row r="63" spans="3:25" x14ac:dyDescent="0.2">
      <c r="C63" s="88" t="str">
        <f>'G-1 All Habitats'!B61</f>
        <v>Urban - Built linear features</v>
      </c>
      <c r="D63" s="543" t="s">
        <v>940</v>
      </c>
      <c r="E63" s="543" t="s">
        <v>940</v>
      </c>
      <c r="F63" s="543" t="s">
        <v>940</v>
      </c>
      <c r="G63" s="543" t="s">
        <v>940</v>
      </c>
      <c r="H63" s="543" t="s">
        <v>940</v>
      </c>
      <c r="I63" s="543" t="s">
        <v>940</v>
      </c>
      <c r="J63" s="543" t="s">
        <v>940</v>
      </c>
      <c r="K63" s="543" t="s">
        <v>940</v>
      </c>
      <c r="L63" s="543" t="s">
        <v>940</v>
      </c>
      <c r="M63" s="543" t="s">
        <v>940</v>
      </c>
      <c r="N63" s="543" t="s">
        <v>940</v>
      </c>
      <c r="O63" s="543" t="s">
        <v>940</v>
      </c>
      <c r="P63" s="543" t="s">
        <v>940</v>
      </c>
      <c r="Q63" s="543" t="s">
        <v>940</v>
      </c>
      <c r="R63" s="543" t="s">
        <v>940</v>
      </c>
      <c r="S63" s="543" t="s">
        <v>940</v>
      </c>
      <c r="T63" s="543" t="s">
        <v>940</v>
      </c>
      <c r="U63" s="543" t="s">
        <v>940</v>
      </c>
      <c r="V63" s="543" t="s">
        <v>940</v>
      </c>
      <c r="W63" s="543" t="s">
        <v>940</v>
      </c>
      <c r="X63" s="543" t="s">
        <v>940</v>
      </c>
      <c r="Y63" s="543" t="s">
        <v>940</v>
      </c>
    </row>
    <row r="64" spans="3:25" x14ac:dyDescent="0.2">
      <c r="C64" s="88" t="str">
        <f>'G-1 All Habitats'!B62</f>
        <v>Urban - Cemeteries and churchyards</v>
      </c>
      <c r="D64" s="543" t="s">
        <v>940</v>
      </c>
      <c r="E64" s="543" t="s">
        <v>940</v>
      </c>
      <c r="F64" s="543">
        <v>10</v>
      </c>
      <c r="G64" s="543">
        <v>12</v>
      </c>
      <c r="H64" s="543">
        <v>15</v>
      </c>
      <c r="I64" s="543">
        <v>17</v>
      </c>
      <c r="J64" s="543">
        <v>20</v>
      </c>
      <c r="K64" s="543" t="s">
        <v>940</v>
      </c>
      <c r="L64" s="543" t="s">
        <v>940</v>
      </c>
      <c r="M64" s="543" t="s">
        <v>940</v>
      </c>
      <c r="N64" s="543" t="s">
        <v>940</v>
      </c>
      <c r="O64" s="543">
        <v>5</v>
      </c>
      <c r="P64" s="543">
        <v>10</v>
      </c>
      <c r="Q64" s="543">
        <v>15</v>
      </c>
      <c r="R64" s="543">
        <v>20</v>
      </c>
      <c r="S64" s="543">
        <v>10</v>
      </c>
      <c r="T64" s="543">
        <v>15</v>
      </c>
      <c r="U64" s="543">
        <v>20</v>
      </c>
      <c r="V64" s="543">
        <v>10</v>
      </c>
      <c r="W64" s="543">
        <v>15</v>
      </c>
      <c r="X64" s="543">
        <v>5</v>
      </c>
      <c r="Y64" s="543" t="s">
        <v>940</v>
      </c>
    </row>
    <row r="65" spans="3:25" x14ac:dyDescent="0.2">
      <c r="C65" s="88" t="str">
        <f>'G-1 All Habitats'!B63</f>
        <v>Urban - Developed land; sealed surface</v>
      </c>
      <c r="D65" s="543" t="s">
        <v>940</v>
      </c>
      <c r="E65" s="543" t="s">
        <v>940</v>
      </c>
      <c r="F65" s="543" t="s">
        <v>940</v>
      </c>
      <c r="G65" s="543" t="s">
        <v>940</v>
      </c>
      <c r="H65" s="543" t="s">
        <v>940</v>
      </c>
      <c r="I65" s="543" t="s">
        <v>940</v>
      </c>
      <c r="J65" s="543" t="s">
        <v>940</v>
      </c>
      <c r="K65" s="543" t="s">
        <v>940</v>
      </c>
      <c r="L65" s="543" t="s">
        <v>940</v>
      </c>
      <c r="M65" s="543" t="s">
        <v>940</v>
      </c>
      <c r="N65" s="543" t="s">
        <v>940</v>
      </c>
      <c r="O65" s="543" t="s">
        <v>940</v>
      </c>
      <c r="P65" s="543" t="s">
        <v>940</v>
      </c>
      <c r="Q65" s="543" t="s">
        <v>940</v>
      </c>
      <c r="R65" s="543" t="s">
        <v>940</v>
      </c>
      <c r="S65" s="543" t="s">
        <v>940</v>
      </c>
      <c r="T65" s="543" t="s">
        <v>940</v>
      </c>
      <c r="U65" s="543" t="s">
        <v>940</v>
      </c>
      <c r="V65" s="543" t="s">
        <v>940</v>
      </c>
      <c r="W65" s="543" t="s">
        <v>940</v>
      </c>
      <c r="X65" s="543" t="s">
        <v>940</v>
      </c>
      <c r="Y65" s="543" t="s">
        <v>940</v>
      </c>
    </row>
    <row r="66" spans="3:25" x14ac:dyDescent="0.2">
      <c r="C66" s="88" t="str">
        <f>'G-1 All Habitats'!B64</f>
        <v>Urban - Other green roof</v>
      </c>
      <c r="D66" s="543" t="s">
        <v>940</v>
      </c>
      <c r="E66" s="543" t="s">
        <v>940</v>
      </c>
      <c r="F66" s="543" t="s">
        <v>940</v>
      </c>
      <c r="G66" s="543" t="s">
        <v>940</v>
      </c>
      <c r="H66" s="543" t="s">
        <v>940</v>
      </c>
      <c r="I66" s="543" t="s">
        <v>940</v>
      </c>
      <c r="J66" s="543" t="s">
        <v>940</v>
      </c>
      <c r="K66" s="543" t="s">
        <v>940</v>
      </c>
      <c r="L66" s="543" t="s">
        <v>940</v>
      </c>
      <c r="M66" s="543" t="s">
        <v>940</v>
      </c>
      <c r="N66" s="543" t="s">
        <v>940</v>
      </c>
      <c r="O66" s="543" t="s">
        <v>940</v>
      </c>
      <c r="P66" s="543" t="s">
        <v>940</v>
      </c>
      <c r="Q66" s="543" t="s">
        <v>940</v>
      </c>
      <c r="R66" s="543" t="s">
        <v>940</v>
      </c>
      <c r="S66" s="543" t="s">
        <v>940</v>
      </c>
      <c r="T66" s="543" t="s">
        <v>940</v>
      </c>
      <c r="U66" s="543" t="s">
        <v>940</v>
      </c>
      <c r="V66" s="543" t="s">
        <v>940</v>
      </c>
      <c r="W66" s="543" t="s">
        <v>940</v>
      </c>
      <c r="X66" s="543" t="s">
        <v>940</v>
      </c>
      <c r="Y66" s="543" t="s">
        <v>940</v>
      </c>
    </row>
    <row r="67" spans="3:25" x14ac:dyDescent="0.2">
      <c r="C67" s="88" t="str">
        <f>'G-1 All Habitats'!B65</f>
        <v>Urban - Facade-bound green wall</v>
      </c>
      <c r="D67" s="543" t="s">
        <v>940</v>
      </c>
      <c r="E67" s="543" t="s">
        <v>940</v>
      </c>
      <c r="F67" s="543">
        <v>1</v>
      </c>
      <c r="G67" s="543">
        <v>2</v>
      </c>
      <c r="H67" s="543">
        <v>3</v>
      </c>
      <c r="I67" s="543">
        <v>4</v>
      </c>
      <c r="J67" s="543">
        <v>5</v>
      </c>
      <c r="K67" s="543" t="s">
        <v>940</v>
      </c>
      <c r="L67" s="543" t="s">
        <v>940</v>
      </c>
      <c r="M67" s="543" t="s">
        <v>940</v>
      </c>
      <c r="N67" s="543" t="s">
        <v>940</v>
      </c>
      <c r="O67" s="543">
        <v>1</v>
      </c>
      <c r="P67" s="543">
        <v>2</v>
      </c>
      <c r="Q67" s="543">
        <v>3</v>
      </c>
      <c r="R67" s="543">
        <v>5</v>
      </c>
      <c r="S67" s="543">
        <v>1</v>
      </c>
      <c r="T67" s="543">
        <v>2</v>
      </c>
      <c r="U67" s="543">
        <v>3</v>
      </c>
      <c r="V67" s="543">
        <v>1</v>
      </c>
      <c r="W67" s="543">
        <v>2</v>
      </c>
      <c r="X67" s="543">
        <v>1</v>
      </c>
      <c r="Y67" s="543" t="s">
        <v>940</v>
      </c>
    </row>
    <row r="68" spans="3:25" x14ac:dyDescent="0.2">
      <c r="C68" s="88" t="str">
        <f>'G-1 All Habitats'!B66</f>
        <v>Urban - Ground based green wall</v>
      </c>
      <c r="D68" s="543" t="s">
        <v>940</v>
      </c>
      <c r="E68" s="543" t="s">
        <v>940</v>
      </c>
      <c r="F68" s="543">
        <v>1</v>
      </c>
      <c r="G68" s="543">
        <v>2</v>
      </c>
      <c r="H68" s="543">
        <v>3</v>
      </c>
      <c r="I68" s="543">
        <v>4</v>
      </c>
      <c r="J68" s="543">
        <v>5</v>
      </c>
      <c r="K68" s="543" t="s">
        <v>940</v>
      </c>
      <c r="L68" s="543" t="s">
        <v>940</v>
      </c>
      <c r="M68" s="543" t="s">
        <v>940</v>
      </c>
      <c r="N68" s="543" t="s">
        <v>940</v>
      </c>
      <c r="O68" s="543">
        <v>1</v>
      </c>
      <c r="P68" s="543">
        <v>2</v>
      </c>
      <c r="Q68" s="543">
        <v>3</v>
      </c>
      <c r="R68" s="543">
        <v>5</v>
      </c>
      <c r="S68" s="543">
        <v>1</v>
      </c>
      <c r="T68" s="543">
        <v>2</v>
      </c>
      <c r="U68" s="543">
        <v>3</v>
      </c>
      <c r="V68" s="543">
        <v>1</v>
      </c>
      <c r="W68" s="543">
        <v>2</v>
      </c>
      <c r="X68" s="543">
        <v>1</v>
      </c>
      <c r="Y68" s="543" t="s">
        <v>940</v>
      </c>
    </row>
    <row r="69" spans="3:25" x14ac:dyDescent="0.2">
      <c r="C69" s="88" t="str">
        <f>'G-1 All Habitats'!B67</f>
        <v>Urban - Ground level planters</v>
      </c>
      <c r="D69" s="543" t="s">
        <v>940</v>
      </c>
      <c r="E69" s="543" t="s">
        <v>940</v>
      </c>
      <c r="F69" s="543" t="s">
        <v>940</v>
      </c>
      <c r="G69" s="543" t="s">
        <v>940</v>
      </c>
      <c r="H69" s="543" t="s">
        <v>940</v>
      </c>
      <c r="I69" s="543" t="s">
        <v>940</v>
      </c>
      <c r="J69" s="543" t="s">
        <v>940</v>
      </c>
      <c r="K69" s="543" t="s">
        <v>940</v>
      </c>
      <c r="L69" s="543" t="s">
        <v>940</v>
      </c>
      <c r="M69" s="543" t="s">
        <v>940</v>
      </c>
      <c r="N69" s="543" t="s">
        <v>940</v>
      </c>
      <c r="O69" s="543" t="s">
        <v>940</v>
      </c>
      <c r="P69" s="543" t="s">
        <v>940</v>
      </c>
      <c r="Q69" s="543" t="s">
        <v>940</v>
      </c>
      <c r="R69" s="543" t="s">
        <v>940</v>
      </c>
      <c r="S69" s="543" t="s">
        <v>940</v>
      </c>
      <c r="T69" s="543" t="s">
        <v>940</v>
      </c>
      <c r="U69" s="543" t="s">
        <v>940</v>
      </c>
      <c r="V69" s="543" t="s">
        <v>940</v>
      </c>
      <c r="W69" s="543" t="s">
        <v>940</v>
      </c>
      <c r="X69" s="543" t="s">
        <v>940</v>
      </c>
      <c r="Y69" s="543" t="s">
        <v>940</v>
      </c>
    </row>
    <row r="70" spans="3:25" x14ac:dyDescent="0.2">
      <c r="C70" s="88" t="str">
        <f>'G-1 All Habitats'!B68</f>
        <v>Urban - Biodiverse green roof</v>
      </c>
      <c r="D70" s="543" t="s">
        <v>940</v>
      </c>
      <c r="E70" s="543" t="s">
        <v>940</v>
      </c>
      <c r="F70" s="543">
        <v>1</v>
      </c>
      <c r="G70" s="543">
        <v>3</v>
      </c>
      <c r="H70" s="543">
        <v>5</v>
      </c>
      <c r="I70" s="543">
        <v>8</v>
      </c>
      <c r="J70" s="543">
        <v>10</v>
      </c>
      <c r="K70" s="543" t="s">
        <v>940</v>
      </c>
      <c r="L70" s="543" t="s">
        <v>940</v>
      </c>
      <c r="M70" s="543" t="s">
        <v>940</v>
      </c>
      <c r="N70" s="543" t="s">
        <v>940</v>
      </c>
      <c r="O70" s="543">
        <v>3</v>
      </c>
      <c r="P70" s="543">
        <v>5</v>
      </c>
      <c r="Q70" s="543">
        <v>8</v>
      </c>
      <c r="R70" s="543">
        <v>10</v>
      </c>
      <c r="S70" s="543">
        <v>3</v>
      </c>
      <c r="T70" s="543">
        <v>8</v>
      </c>
      <c r="U70" s="543">
        <v>8</v>
      </c>
      <c r="V70" s="543">
        <v>3</v>
      </c>
      <c r="W70" s="543">
        <v>5</v>
      </c>
      <c r="X70" s="543">
        <v>2</v>
      </c>
      <c r="Y70" s="543" t="s">
        <v>940</v>
      </c>
    </row>
    <row r="71" spans="3:25" x14ac:dyDescent="0.2">
      <c r="C71" s="88" t="str">
        <f>'G-1 All Habitats'!B69</f>
        <v>Urban - Introduced shrub</v>
      </c>
      <c r="D71" s="543" t="s">
        <v>940</v>
      </c>
      <c r="E71" s="543" t="s">
        <v>940</v>
      </c>
      <c r="F71" s="543" t="s">
        <v>940</v>
      </c>
      <c r="G71" s="543" t="s">
        <v>940</v>
      </c>
      <c r="H71" s="543" t="s">
        <v>940</v>
      </c>
      <c r="I71" s="543" t="s">
        <v>940</v>
      </c>
      <c r="J71" s="543" t="s">
        <v>940</v>
      </c>
      <c r="K71" s="543" t="s">
        <v>940</v>
      </c>
      <c r="L71" s="543" t="s">
        <v>940</v>
      </c>
      <c r="M71" s="543" t="s">
        <v>940</v>
      </c>
      <c r="N71" s="543" t="s">
        <v>940</v>
      </c>
      <c r="O71" s="543" t="s">
        <v>940</v>
      </c>
      <c r="P71" s="543" t="s">
        <v>940</v>
      </c>
      <c r="Q71" s="543" t="s">
        <v>940</v>
      </c>
      <c r="R71" s="543" t="s">
        <v>940</v>
      </c>
      <c r="S71" s="543" t="s">
        <v>940</v>
      </c>
      <c r="T71" s="543" t="s">
        <v>940</v>
      </c>
      <c r="U71" s="543" t="s">
        <v>940</v>
      </c>
      <c r="V71" s="543" t="s">
        <v>940</v>
      </c>
      <c r="W71" s="543" t="s">
        <v>940</v>
      </c>
      <c r="X71" s="543" t="s">
        <v>940</v>
      </c>
      <c r="Y71" s="543" t="s">
        <v>940</v>
      </c>
    </row>
    <row r="72" spans="3:25" x14ac:dyDescent="0.2">
      <c r="C72" s="88" t="str">
        <f>'G-1 All Habitats'!B70</f>
        <v>Urban - Open Mosaic Habitats on Previously Developed Land</v>
      </c>
      <c r="D72" s="543" t="s">
        <v>940</v>
      </c>
      <c r="E72" s="543" t="s">
        <v>940</v>
      </c>
      <c r="F72" s="543">
        <v>0</v>
      </c>
      <c r="G72" s="543">
        <v>2</v>
      </c>
      <c r="H72" s="543">
        <v>4</v>
      </c>
      <c r="I72" s="543">
        <v>7</v>
      </c>
      <c r="J72" s="543">
        <v>10</v>
      </c>
      <c r="K72" s="543" t="s">
        <v>940</v>
      </c>
      <c r="L72" s="543" t="s">
        <v>940</v>
      </c>
      <c r="M72" s="543" t="s">
        <v>940</v>
      </c>
      <c r="N72" s="543" t="s">
        <v>940</v>
      </c>
      <c r="O72" s="543">
        <v>2</v>
      </c>
      <c r="P72" s="543">
        <v>4</v>
      </c>
      <c r="Q72" s="543">
        <v>7</v>
      </c>
      <c r="R72" s="543">
        <v>10</v>
      </c>
      <c r="S72" s="543">
        <v>2</v>
      </c>
      <c r="T72" s="543">
        <v>5</v>
      </c>
      <c r="U72" s="543">
        <v>8</v>
      </c>
      <c r="V72" s="543">
        <v>3</v>
      </c>
      <c r="W72" s="543">
        <v>4</v>
      </c>
      <c r="X72" s="543">
        <v>3</v>
      </c>
      <c r="Y72" s="543" t="s">
        <v>940</v>
      </c>
    </row>
    <row r="73" spans="3:25" x14ac:dyDescent="0.2">
      <c r="C73" s="88" t="str">
        <f>'G-1 All Habitats'!B71</f>
        <v>Urban - Rain garden</v>
      </c>
      <c r="D73" s="543" t="s">
        <v>940</v>
      </c>
      <c r="E73" s="543" t="s">
        <v>940</v>
      </c>
      <c r="F73" s="543">
        <v>1</v>
      </c>
      <c r="G73" s="543">
        <v>1</v>
      </c>
      <c r="H73" s="543">
        <v>1</v>
      </c>
      <c r="I73" s="543">
        <v>1</v>
      </c>
      <c r="J73" s="543">
        <v>1</v>
      </c>
      <c r="K73" s="543" t="s">
        <v>940</v>
      </c>
      <c r="L73" s="543" t="s">
        <v>940</v>
      </c>
      <c r="M73" s="543" t="s">
        <v>940</v>
      </c>
      <c r="N73" s="543" t="s">
        <v>940</v>
      </c>
      <c r="O73" s="543">
        <v>1</v>
      </c>
      <c r="P73" s="543">
        <v>1</v>
      </c>
      <c r="Q73" s="543">
        <v>1</v>
      </c>
      <c r="R73" s="543">
        <v>1</v>
      </c>
      <c r="S73" s="543">
        <v>1</v>
      </c>
      <c r="T73" s="543">
        <v>1</v>
      </c>
      <c r="U73" s="543">
        <v>1</v>
      </c>
      <c r="V73" s="543">
        <v>1</v>
      </c>
      <c r="W73" s="543">
        <v>1</v>
      </c>
      <c r="X73" s="543">
        <v>1</v>
      </c>
      <c r="Y73" s="543" t="s">
        <v>940</v>
      </c>
    </row>
    <row r="74" spans="3:25" x14ac:dyDescent="0.2">
      <c r="C74" s="88" t="str">
        <f>'G-1 All Habitats'!B72</f>
        <v>Urban - Actively worked sand pit quarry or open cast mine</v>
      </c>
      <c r="D74" s="543" t="s">
        <v>940</v>
      </c>
      <c r="E74" s="543" t="s">
        <v>940</v>
      </c>
      <c r="F74" s="543">
        <v>1</v>
      </c>
      <c r="G74" s="543" t="s">
        <v>940</v>
      </c>
      <c r="H74" s="543" t="s">
        <v>940</v>
      </c>
      <c r="I74" s="543" t="s">
        <v>940</v>
      </c>
      <c r="J74" s="543" t="s">
        <v>940</v>
      </c>
      <c r="K74" s="543" t="s">
        <v>940</v>
      </c>
      <c r="L74" s="543" t="s">
        <v>940</v>
      </c>
      <c r="M74" s="543" t="s">
        <v>940</v>
      </c>
      <c r="N74" s="543" t="s">
        <v>940</v>
      </c>
      <c r="O74" s="543" t="s">
        <v>940</v>
      </c>
      <c r="P74" s="543" t="s">
        <v>940</v>
      </c>
      <c r="Q74" s="543" t="s">
        <v>940</v>
      </c>
      <c r="R74" s="543" t="s">
        <v>940</v>
      </c>
      <c r="S74" s="543" t="s">
        <v>940</v>
      </c>
      <c r="T74" s="543" t="s">
        <v>940</v>
      </c>
      <c r="U74" s="543" t="s">
        <v>940</v>
      </c>
      <c r="V74" s="543" t="s">
        <v>940</v>
      </c>
      <c r="W74" s="543" t="s">
        <v>940</v>
      </c>
      <c r="X74" s="543" t="s">
        <v>940</v>
      </c>
      <c r="Y74" s="543" t="s">
        <v>940</v>
      </c>
    </row>
    <row r="75" spans="3:25" x14ac:dyDescent="0.2">
      <c r="C75" s="88" t="str">
        <f>'G-1 All Habitats'!B73</f>
        <v>Urban - Urban Tree</v>
      </c>
      <c r="D75" s="543" t="s">
        <v>940</v>
      </c>
      <c r="E75" s="543" t="s">
        <v>940</v>
      </c>
      <c r="F75" s="543" t="s">
        <v>940</v>
      </c>
      <c r="G75" s="543" t="s">
        <v>940</v>
      </c>
      <c r="H75" s="543" t="s">
        <v>940</v>
      </c>
      <c r="I75" s="543" t="s">
        <v>940</v>
      </c>
      <c r="J75" s="543" t="s">
        <v>940</v>
      </c>
      <c r="K75" s="543" t="s">
        <v>940</v>
      </c>
      <c r="L75" s="543" t="s">
        <v>940</v>
      </c>
      <c r="M75" s="543" t="s">
        <v>940</v>
      </c>
      <c r="N75" s="543" t="s">
        <v>940</v>
      </c>
      <c r="O75" s="543">
        <v>8</v>
      </c>
      <c r="P75" s="543">
        <v>16</v>
      </c>
      <c r="Q75" s="543">
        <v>24</v>
      </c>
      <c r="R75" s="543" t="s">
        <v>941</v>
      </c>
      <c r="S75" s="543">
        <v>8</v>
      </c>
      <c r="T75" s="543">
        <v>16</v>
      </c>
      <c r="U75" s="543">
        <v>24</v>
      </c>
      <c r="V75" s="543">
        <v>8</v>
      </c>
      <c r="W75" s="543">
        <v>16</v>
      </c>
      <c r="X75" s="543">
        <v>8</v>
      </c>
      <c r="Y75" s="543" t="s">
        <v>940</v>
      </c>
    </row>
    <row r="76" spans="3:25" x14ac:dyDescent="0.2">
      <c r="C76" s="88" t="str">
        <f>'G-1 All Habitats'!B74</f>
        <v>Urban - Sustainable urban drainage feature</v>
      </c>
      <c r="D76" s="543" t="s">
        <v>940</v>
      </c>
      <c r="E76" s="543" t="s">
        <v>940</v>
      </c>
      <c r="F76" s="543">
        <v>1</v>
      </c>
      <c r="G76" s="543">
        <v>2</v>
      </c>
      <c r="H76" s="543">
        <v>3</v>
      </c>
      <c r="I76" s="543">
        <v>4</v>
      </c>
      <c r="J76" s="543">
        <v>5</v>
      </c>
      <c r="K76" s="543" t="s">
        <v>940</v>
      </c>
      <c r="L76" s="543" t="s">
        <v>940</v>
      </c>
      <c r="M76" s="543" t="s">
        <v>940</v>
      </c>
      <c r="N76" s="543" t="s">
        <v>940</v>
      </c>
      <c r="O76" s="543">
        <v>1</v>
      </c>
      <c r="P76" s="543">
        <v>2</v>
      </c>
      <c r="Q76" s="543">
        <v>3</v>
      </c>
      <c r="R76" s="543">
        <v>5</v>
      </c>
      <c r="S76" s="543">
        <v>1</v>
      </c>
      <c r="T76" s="543">
        <v>2</v>
      </c>
      <c r="U76" s="543">
        <v>3</v>
      </c>
      <c r="V76" s="543">
        <v>1</v>
      </c>
      <c r="W76" s="543">
        <v>2</v>
      </c>
      <c r="X76" s="543">
        <v>1</v>
      </c>
      <c r="Y76" s="543" t="s">
        <v>940</v>
      </c>
    </row>
    <row r="77" spans="3:25" x14ac:dyDescent="0.2">
      <c r="C77" s="88" t="str">
        <f>'G-1 All Habitats'!B75</f>
        <v>Urban - Un-vegetated garden</v>
      </c>
      <c r="D77" s="543" t="s">
        <v>940</v>
      </c>
      <c r="E77" s="543" t="s">
        <v>940</v>
      </c>
      <c r="F77" s="543" t="s">
        <v>940</v>
      </c>
      <c r="G77" s="543" t="s">
        <v>940</v>
      </c>
      <c r="H77" s="543" t="s">
        <v>940</v>
      </c>
      <c r="I77" s="543" t="s">
        <v>940</v>
      </c>
      <c r="J77" s="543" t="s">
        <v>940</v>
      </c>
      <c r="K77" s="543" t="s">
        <v>940</v>
      </c>
      <c r="L77" s="543" t="s">
        <v>940</v>
      </c>
      <c r="M77" s="543" t="s">
        <v>940</v>
      </c>
      <c r="N77" s="543" t="s">
        <v>940</v>
      </c>
      <c r="O77" s="543" t="s">
        <v>940</v>
      </c>
      <c r="P77" s="543" t="s">
        <v>940</v>
      </c>
      <c r="Q77" s="543" t="s">
        <v>940</v>
      </c>
      <c r="R77" s="543" t="s">
        <v>940</v>
      </c>
      <c r="S77" s="543" t="s">
        <v>940</v>
      </c>
      <c r="T77" s="543" t="s">
        <v>940</v>
      </c>
      <c r="U77" s="543" t="s">
        <v>940</v>
      </c>
      <c r="V77" s="543" t="s">
        <v>940</v>
      </c>
      <c r="W77" s="543" t="s">
        <v>940</v>
      </c>
      <c r="X77" s="543" t="s">
        <v>940</v>
      </c>
      <c r="Y77" s="543" t="s">
        <v>940</v>
      </c>
    </row>
    <row r="78" spans="3:25" x14ac:dyDescent="0.2">
      <c r="C78" s="88" t="str">
        <f>'G-1 All Habitats'!B76</f>
        <v>Urban - Vacant/derelict land/ bareground</v>
      </c>
      <c r="D78" s="543" t="s">
        <v>940</v>
      </c>
      <c r="E78" s="543" t="s">
        <v>940</v>
      </c>
      <c r="F78" s="543">
        <v>1</v>
      </c>
      <c r="G78" s="543">
        <v>1</v>
      </c>
      <c r="H78" s="543">
        <v>1</v>
      </c>
      <c r="I78" s="543">
        <v>1</v>
      </c>
      <c r="J78" s="543">
        <v>1</v>
      </c>
      <c r="K78" s="543" t="s">
        <v>940</v>
      </c>
      <c r="L78" s="543" t="s">
        <v>940</v>
      </c>
      <c r="M78" s="543" t="s">
        <v>940</v>
      </c>
      <c r="N78" s="543" t="s">
        <v>940</v>
      </c>
      <c r="O78" s="543">
        <v>1</v>
      </c>
      <c r="P78" s="543">
        <v>1</v>
      </c>
      <c r="Q78" s="543">
        <v>1</v>
      </c>
      <c r="R78" s="543">
        <v>1</v>
      </c>
      <c r="S78" s="543">
        <v>1</v>
      </c>
      <c r="T78" s="543">
        <v>1</v>
      </c>
      <c r="U78" s="543">
        <v>1</v>
      </c>
      <c r="V78" s="543">
        <v>1</v>
      </c>
      <c r="W78" s="543">
        <v>1</v>
      </c>
      <c r="X78" s="543">
        <v>1</v>
      </c>
      <c r="Y78" s="543" t="s">
        <v>940</v>
      </c>
    </row>
    <row r="79" spans="3:25" x14ac:dyDescent="0.2">
      <c r="C79" s="88" t="str">
        <f>'G-1 All Habitats'!B77</f>
        <v>Urban - Vegetated garden</v>
      </c>
      <c r="D79" s="543" t="s">
        <v>940</v>
      </c>
      <c r="E79" s="543" t="s">
        <v>940</v>
      </c>
      <c r="F79" s="543">
        <v>1</v>
      </c>
      <c r="G79" s="543">
        <v>2</v>
      </c>
      <c r="H79" s="543">
        <v>3</v>
      </c>
      <c r="I79" s="543">
        <v>4</v>
      </c>
      <c r="J79" s="543">
        <v>5</v>
      </c>
      <c r="K79" s="543" t="s">
        <v>940</v>
      </c>
      <c r="L79" s="543" t="s">
        <v>940</v>
      </c>
      <c r="M79" s="543" t="s">
        <v>940</v>
      </c>
      <c r="N79" s="543" t="s">
        <v>940</v>
      </c>
      <c r="O79" s="543">
        <v>1</v>
      </c>
      <c r="P79" s="543">
        <v>2</v>
      </c>
      <c r="Q79" s="543">
        <v>3</v>
      </c>
      <c r="R79" s="543">
        <v>5</v>
      </c>
      <c r="S79" s="543">
        <v>1</v>
      </c>
      <c r="T79" s="543">
        <v>2</v>
      </c>
      <c r="U79" s="543">
        <v>3</v>
      </c>
      <c r="V79" s="543">
        <v>1</v>
      </c>
      <c r="W79" s="543">
        <v>2</v>
      </c>
      <c r="X79" s="543">
        <v>1</v>
      </c>
      <c r="Y79" s="543" t="s">
        <v>940</v>
      </c>
    </row>
    <row r="80" spans="3:25" x14ac:dyDescent="0.2">
      <c r="C80" s="88" t="str">
        <f>'G-1 All Habitats'!B78</f>
        <v>Wetland - Blanket bog</v>
      </c>
      <c r="D80" s="543" t="s">
        <v>940</v>
      </c>
      <c r="E80" s="543" t="s">
        <v>940</v>
      </c>
      <c r="F80" s="543">
        <v>15</v>
      </c>
      <c r="G80" s="543">
        <v>25</v>
      </c>
      <c r="H80" s="543">
        <v>30</v>
      </c>
      <c r="I80" s="543" t="s">
        <v>941</v>
      </c>
      <c r="J80" s="543" t="s">
        <v>941</v>
      </c>
      <c r="K80" s="543" t="s">
        <v>940</v>
      </c>
      <c r="L80" s="543" t="s">
        <v>940</v>
      </c>
      <c r="M80" s="543" t="s">
        <v>940</v>
      </c>
      <c r="N80" s="543" t="s">
        <v>940</v>
      </c>
      <c r="O80" s="543">
        <v>10</v>
      </c>
      <c r="P80" s="543">
        <v>20</v>
      </c>
      <c r="Q80" s="543" t="s">
        <v>941</v>
      </c>
      <c r="R80" s="543">
        <v>30</v>
      </c>
      <c r="S80" s="543">
        <v>10</v>
      </c>
      <c r="T80" s="543" t="s">
        <v>941</v>
      </c>
      <c r="U80" s="543" t="s">
        <v>941</v>
      </c>
      <c r="V80" s="543">
        <v>30</v>
      </c>
      <c r="W80" s="543" t="s">
        <v>941</v>
      </c>
      <c r="X80" s="543">
        <v>30</v>
      </c>
      <c r="Y80" s="543" t="s">
        <v>940</v>
      </c>
    </row>
    <row r="81" spans="3:25" x14ac:dyDescent="0.2">
      <c r="C81" s="88" t="str">
        <f>'G-1 All Habitats'!B79</f>
        <v>Wetland - Depressions on Peat substrates (H7150)</v>
      </c>
      <c r="D81" s="543" t="s">
        <v>940</v>
      </c>
      <c r="E81" s="543" t="s">
        <v>940</v>
      </c>
      <c r="F81" s="543">
        <v>15</v>
      </c>
      <c r="G81" s="543">
        <v>25</v>
      </c>
      <c r="H81" s="543">
        <v>30</v>
      </c>
      <c r="I81" s="543" t="s">
        <v>941</v>
      </c>
      <c r="J81" s="543" t="s">
        <v>941</v>
      </c>
      <c r="K81" s="543" t="s">
        <v>940</v>
      </c>
      <c r="L81" s="543" t="s">
        <v>940</v>
      </c>
      <c r="M81" s="543" t="s">
        <v>940</v>
      </c>
      <c r="N81" s="543" t="s">
        <v>940</v>
      </c>
      <c r="O81" s="543">
        <v>10</v>
      </c>
      <c r="P81" s="543">
        <v>20</v>
      </c>
      <c r="Q81" s="543">
        <v>25</v>
      </c>
      <c r="R81" s="543">
        <v>30</v>
      </c>
      <c r="S81" s="543">
        <v>10</v>
      </c>
      <c r="T81" s="543">
        <v>20</v>
      </c>
      <c r="U81" s="543">
        <v>25</v>
      </c>
      <c r="V81" s="543">
        <v>10</v>
      </c>
      <c r="W81" s="543">
        <v>20</v>
      </c>
      <c r="X81" s="543">
        <v>10</v>
      </c>
      <c r="Y81" s="543" t="s">
        <v>940</v>
      </c>
    </row>
    <row r="82" spans="3:25" x14ac:dyDescent="0.2">
      <c r="C82" s="88" t="str">
        <f>'G-1 All Habitats'!B80</f>
        <v>Wetland - Fens (upland and lowland)</v>
      </c>
      <c r="D82" s="543" t="s">
        <v>940</v>
      </c>
      <c r="E82" s="543" t="s">
        <v>940</v>
      </c>
      <c r="F82" s="543">
        <v>10</v>
      </c>
      <c r="G82" s="543">
        <v>12</v>
      </c>
      <c r="H82" s="543">
        <v>15</v>
      </c>
      <c r="I82" s="543">
        <v>25</v>
      </c>
      <c r="J82" s="543">
        <v>30</v>
      </c>
      <c r="K82" s="543" t="s">
        <v>940</v>
      </c>
      <c r="L82" s="543" t="s">
        <v>940</v>
      </c>
      <c r="M82" s="543" t="s">
        <v>940</v>
      </c>
      <c r="N82" s="543" t="s">
        <v>940</v>
      </c>
      <c r="O82" s="543">
        <v>10</v>
      </c>
      <c r="P82" s="543">
        <v>12</v>
      </c>
      <c r="Q82" s="543">
        <v>15</v>
      </c>
      <c r="R82" s="543">
        <v>18</v>
      </c>
      <c r="S82" s="543">
        <v>10</v>
      </c>
      <c r="T82" s="543">
        <v>12</v>
      </c>
      <c r="U82" s="543">
        <v>15</v>
      </c>
      <c r="V82" s="543">
        <v>10</v>
      </c>
      <c r="W82" s="543">
        <v>12</v>
      </c>
      <c r="X82" s="543">
        <v>10</v>
      </c>
      <c r="Y82" s="543" t="s">
        <v>940</v>
      </c>
    </row>
    <row r="83" spans="3:25" x14ac:dyDescent="0.2">
      <c r="C83" s="88" t="str">
        <f>'G-1 All Habitats'!B81</f>
        <v>Wetland - Lowland raised bog</v>
      </c>
      <c r="D83" s="543" t="s">
        <v>940</v>
      </c>
      <c r="E83" s="543" t="s">
        <v>940</v>
      </c>
      <c r="F83" s="543">
        <v>15</v>
      </c>
      <c r="G83" s="543">
        <v>20</v>
      </c>
      <c r="H83" s="543">
        <v>30</v>
      </c>
      <c r="I83" s="543" t="s">
        <v>941</v>
      </c>
      <c r="J83" s="543" t="s">
        <v>941</v>
      </c>
      <c r="K83" s="543" t="s">
        <v>940</v>
      </c>
      <c r="L83" s="543" t="s">
        <v>940</v>
      </c>
      <c r="M83" s="543" t="s">
        <v>940</v>
      </c>
      <c r="N83" s="543" t="s">
        <v>940</v>
      </c>
      <c r="O83" s="543">
        <v>10</v>
      </c>
      <c r="P83" s="543">
        <v>20</v>
      </c>
      <c r="Q83" s="543">
        <v>25</v>
      </c>
      <c r="R83" s="543">
        <v>30</v>
      </c>
      <c r="S83" s="543">
        <v>10</v>
      </c>
      <c r="T83" s="543">
        <v>20</v>
      </c>
      <c r="U83" s="543">
        <v>20</v>
      </c>
      <c r="V83" s="543">
        <v>10</v>
      </c>
      <c r="W83" s="543">
        <v>15</v>
      </c>
      <c r="X83" s="543">
        <v>10</v>
      </c>
      <c r="Y83" s="543" t="s">
        <v>940</v>
      </c>
    </row>
    <row r="84" spans="3:25" x14ac:dyDescent="0.2">
      <c r="C84" s="88" t="str">
        <f>'G-1 All Habitats'!B82</f>
        <v>Wetland - Oceanic Valley Mire[1] (D2.1)</v>
      </c>
      <c r="D84" s="543" t="s">
        <v>940</v>
      </c>
      <c r="E84" s="543" t="s">
        <v>940</v>
      </c>
      <c r="F84" s="543">
        <v>15</v>
      </c>
      <c r="G84" s="543">
        <v>20</v>
      </c>
      <c r="H84" s="543">
        <v>30</v>
      </c>
      <c r="I84" s="543" t="s">
        <v>941</v>
      </c>
      <c r="J84" s="543" t="s">
        <v>941</v>
      </c>
      <c r="K84" s="543" t="s">
        <v>940</v>
      </c>
      <c r="L84" s="543" t="s">
        <v>940</v>
      </c>
      <c r="M84" s="543" t="s">
        <v>940</v>
      </c>
      <c r="N84" s="543" t="s">
        <v>940</v>
      </c>
      <c r="O84" s="543">
        <v>10</v>
      </c>
      <c r="P84" s="543">
        <v>20</v>
      </c>
      <c r="Q84" s="543">
        <v>25</v>
      </c>
      <c r="R84" s="543">
        <v>30</v>
      </c>
      <c r="S84" s="543">
        <v>10</v>
      </c>
      <c r="T84" s="543">
        <v>20</v>
      </c>
      <c r="U84" s="543">
        <v>20</v>
      </c>
      <c r="V84" s="543">
        <v>10</v>
      </c>
      <c r="W84" s="543">
        <v>15</v>
      </c>
      <c r="X84" s="543">
        <v>10</v>
      </c>
      <c r="Y84" s="543" t="s">
        <v>940</v>
      </c>
    </row>
    <row r="85" spans="3:25" x14ac:dyDescent="0.2">
      <c r="C85" s="88" t="str">
        <f>'G-1 All Habitats'!B83</f>
        <v>Wetland - Purple moor grass and rush pastures</v>
      </c>
      <c r="D85" s="543" t="s">
        <v>940</v>
      </c>
      <c r="E85" s="543" t="s">
        <v>940</v>
      </c>
      <c r="F85" s="543">
        <v>10</v>
      </c>
      <c r="G85" s="543">
        <v>12</v>
      </c>
      <c r="H85" s="543">
        <v>15</v>
      </c>
      <c r="I85" s="543">
        <v>17</v>
      </c>
      <c r="J85" s="543">
        <v>20</v>
      </c>
      <c r="K85" s="543" t="s">
        <v>940</v>
      </c>
      <c r="L85" s="543" t="s">
        <v>940</v>
      </c>
      <c r="M85" s="543" t="s">
        <v>940</v>
      </c>
      <c r="N85" s="543" t="s">
        <v>940</v>
      </c>
      <c r="O85" s="543">
        <v>10</v>
      </c>
      <c r="P85" s="543">
        <v>10</v>
      </c>
      <c r="Q85" s="543">
        <v>15</v>
      </c>
      <c r="R85" s="543">
        <v>20</v>
      </c>
      <c r="S85" s="543">
        <v>10</v>
      </c>
      <c r="T85" s="543">
        <v>15</v>
      </c>
      <c r="U85" s="543">
        <v>20</v>
      </c>
      <c r="V85" s="543">
        <v>10</v>
      </c>
      <c r="W85" s="543">
        <v>15</v>
      </c>
      <c r="X85" s="543">
        <v>10</v>
      </c>
      <c r="Y85" s="543" t="s">
        <v>940</v>
      </c>
    </row>
    <row r="86" spans="3:25" x14ac:dyDescent="0.2">
      <c r="C86" s="88" t="str">
        <f>'G-1 All Habitats'!B84</f>
        <v>Wetland - Reedbeds</v>
      </c>
      <c r="D86" s="543" t="s">
        <v>940</v>
      </c>
      <c r="E86" s="543" t="s">
        <v>940</v>
      </c>
      <c r="F86" s="543">
        <v>5</v>
      </c>
      <c r="G86" s="543">
        <v>7</v>
      </c>
      <c r="H86" s="543">
        <v>10</v>
      </c>
      <c r="I86" s="543">
        <v>12</v>
      </c>
      <c r="J86" s="543">
        <v>15</v>
      </c>
      <c r="K86" s="543" t="s">
        <v>940</v>
      </c>
      <c r="L86" s="543" t="s">
        <v>940</v>
      </c>
      <c r="M86" s="543" t="s">
        <v>940</v>
      </c>
      <c r="N86" s="543" t="s">
        <v>940</v>
      </c>
      <c r="O86" s="543">
        <v>5</v>
      </c>
      <c r="P86" s="543">
        <v>7</v>
      </c>
      <c r="Q86" s="543">
        <v>10</v>
      </c>
      <c r="R86" s="543">
        <v>12</v>
      </c>
      <c r="S86" s="543">
        <v>5</v>
      </c>
      <c r="T86" s="543">
        <v>7</v>
      </c>
      <c r="U86" s="543">
        <v>10</v>
      </c>
      <c r="V86" s="543">
        <v>5</v>
      </c>
      <c r="W86" s="543">
        <v>7</v>
      </c>
      <c r="X86" s="543">
        <v>5</v>
      </c>
      <c r="Y86" s="543" t="s">
        <v>940</v>
      </c>
    </row>
    <row r="87" spans="3:25" x14ac:dyDescent="0.2">
      <c r="C87" s="88" t="str">
        <f>'G-1 All Habitats'!B85</f>
        <v>Wetland - Transition mires and quaking bogs (H7140)</v>
      </c>
      <c r="D87" s="543" t="s">
        <v>940</v>
      </c>
      <c r="E87" s="543" t="s">
        <v>940</v>
      </c>
      <c r="F87" s="543">
        <v>15</v>
      </c>
      <c r="G87" s="543">
        <v>25</v>
      </c>
      <c r="H87" s="543">
        <v>30</v>
      </c>
      <c r="I87" s="543" t="s">
        <v>941</v>
      </c>
      <c r="J87" s="543" t="s">
        <v>941</v>
      </c>
      <c r="K87" s="543" t="s">
        <v>940</v>
      </c>
      <c r="L87" s="543" t="s">
        <v>940</v>
      </c>
      <c r="M87" s="543" t="s">
        <v>940</v>
      </c>
      <c r="N87" s="543" t="s">
        <v>940</v>
      </c>
      <c r="O87" s="543">
        <v>10</v>
      </c>
      <c r="P87" s="543">
        <v>20</v>
      </c>
      <c r="Q87" s="543">
        <v>25</v>
      </c>
      <c r="R87" s="543">
        <v>30</v>
      </c>
      <c r="S87" s="543">
        <v>10</v>
      </c>
      <c r="T87" s="543">
        <v>20</v>
      </c>
      <c r="U87" s="543">
        <v>20</v>
      </c>
      <c r="V87" s="543">
        <v>10</v>
      </c>
      <c r="W87" s="543">
        <v>15</v>
      </c>
      <c r="X87" s="543">
        <v>10</v>
      </c>
      <c r="Y87" s="543" t="s">
        <v>940</v>
      </c>
    </row>
    <row r="88" spans="3:25" x14ac:dyDescent="0.2">
      <c r="C88" s="88" t="str">
        <f>'G-1 All Habitats'!B86</f>
        <v>Woodland and forest - Felled</v>
      </c>
      <c r="D88" s="543" t="s">
        <v>940</v>
      </c>
      <c r="E88" s="543" t="s">
        <v>940</v>
      </c>
      <c r="F88" s="543" t="s">
        <v>940</v>
      </c>
      <c r="G88" s="543" t="s">
        <v>940</v>
      </c>
      <c r="H88" s="543" t="s">
        <v>940</v>
      </c>
      <c r="I88" s="543" t="s">
        <v>940</v>
      </c>
      <c r="J88" s="543" t="s">
        <v>940</v>
      </c>
      <c r="K88" s="543" t="s">
        <v>940</v>
      </c>
      <c r="L88" s="543" t="s">
        <v>940</v>
      </c>
      <c r="M88" s="543" t="s">
        <v>940</v>
      </c>
      <c r="N88" s="543" t="s">
        <v>940</v>
      </c>
      <c r="O88" s="543" t="s">
        <v>940</v>
      </c>
      <c r="P88" s="543" t="s">
        <v>940</v>
      </c>
      <c r="Q88" s="543" t="s">
        <v>940</v>
      </c>
      <c r="R88" s="543" t="s">
        <v>940</v>
      </c>
      <c r="S88" s="543" t="s">
        <v>940</v>
      </c>
      <c r="T88" s="543" t="s">
        <v>940</v>
      </c>
      <c r="U88" s="543" t="s">
        <v>940</v>
      </c>
      <c r="V88" s="543" t="s">
        <v>940</v>
      </c>
      <c r="W88" s="543" t="s">
        <v>940</v>
      </c>
      <c r="X88" s="543" t="s">
        <v>940</v>
      </c>
      <c r="Y88" s="543" t="s">
        <v>940</v>
      </c>
    </row>
    <row r="89" spans="3:25" x14ac:dyDescent="0.2">
      <c r="C89" s="88" t="str">
        <f>'G-1 All Habitats'!B87</f>
        <v>Woodland and forest - Lowland beech and yew woodland</v>
      </c>
      <c r="D89" s="543" t="s">
        <v>940</v>
      </c>
      <c r="E89" s="543" t="s">
        <v>940</v>
      </c>
      <c r="F89" s="543">
        <v>10</v>
      </c>
      <c r="G89" s="543">
        <v>25</v>
      </c>
      <c r="H89" s="543" t="s">
        <v>941</v>
      </c>
      <c r="I89" s="543" t="s">
        <v>941</v>
      </c>
      <c r="J89" s="543" t="s">
        <v>941</v>
      </c>
      <c r="K89" s="543" t="s">
        <v>940</v>
      </c>
      <c r="L89" s="543" t="s">
        <v>940</v>
      </c>
      <c r="M89" s="543" t="s">
        <v>940</v>
      </c>
      <c r="N89" s="543" t="s">
        <v>940</v>
      </c>
      <c r="O89" s="543">
        <v>25</v>
      </c>
      <c r="P89" s="543" t="s">
        <v>941</v>
      </c>
      <c r="Q89" s="543" t="s">
        <v>941</v>
      </c>
      <c r="R89" s="543" t="s">
        <v>941</v>
      </c>
      <c r="S89" s="543" t="s">
        <v>941</v>
      </c>
      <c r="T89" s="543" t="s">
        <v>941</v>
      </c>
      <c r="U89" s="543" t="s">
        <v>941</v>
      </c>
      <c r="V89" s="543" t="s">
        <v>941</v>
      </c>
      <c r="W89" s="543" t="s">
        <v>941</v>
      </c>
      <c r="X89" s="543" t="s">
        <v>941</v>
      </c>
      <c r="Y89" s="543" t="s">
        <v>940</v>
      </c>
    </row>
    <row r="90" spans="3:25" x14ac:dyDescent="0.2">
      <c r="C90" s="88" t="str">
        <f>'G-1 All Habitats'!B88</f>
        <v>Woodland and forest - Lowland mixed deciduous woodland</v>
      </c>
      <c r="D90" s="543" t="s">
        <v>940</v>
      </c>
      <c r="E90" s="543" t="s">
        <v>940</v>
      </c>
      <c r="F90" s="543">
        <v>10</v>
      </c>
      <c r="G90" s="543">
        <v>25</v>
      </c>
      <c r="H90" s="543" t="s">
        <v>941</v>
      </c>
      <c r="I90" s="543" t="s">
        <v>941</v>
      </c>
      <c r="J90" s="543" t="s">
        <v>941</v>
      </c>
      <c r="K90" s="543" t="s">
        <v>940</v>
      </c>
      <c r="L90" s="543" t="s">
        <v>940</v>
      </c>
      <c r="M90" s="543" t="s">
        <v>940</v>
      </c>
      <c r="N90" s="543" t="s">
        <v>940</v>
      </c>
      <c r="O90" s="543">
        <v>10</v>
      </c>
      <c r="P90" s="543">
        <v>20</v>
      </c>
      <c r="Q90" s="543">
        <v>25</v>
      </c>
      <c r="R90" s="543" t="s">
        <v>941</v>
      </c>
      <c r="S90" s="543">
        <v>10</v>
      </c>
      <c r="T90" s="543">
        <v>20</v>
      </c>
      <c r="U90" s="543">
        <v>25</v>
      </c>
      <c r="V90" s="543">
        <v>10</v>
      </c>
      <c r="W90" s="543">
        <v>20</v>
      </c>
      <c r="X90" s="543">
        <v>10</v>
      </c>
      <c r="Y90" s="543" t="s">
        <v>940</v>
      </c>
    </row>
    <row r="91" spans="3:25" x14ac:dyDescent="0.2">
      <c r="C91" s="88" t="str">
        <f>'G-1 All Habitats'!B89</f>
        <v>Woodland and forest - Native pine woodlands</v>
      </c>
      <c r="D91" s="543" t="s">
        <v>940</v>
      </c>
      <c r="E91" s="543" t="s">
        <v>940</v>
      </c>
      <c r="F91" s="543">
        <v>25</v>
      </c>
      <c r="G91" s="543">
        <v>30</v>
      </c>
      <c r="H91" s="543" t="s">
        <v>941</v>
      </c>
      <c r="I91" s="543" t="s">
        <v>941</v>
      </c>
      <c r="J91" s="543" t="s">
        <v>941</v>
      </c>
      <c r="K91" s="543" t="s">
        <v>940</v>
      </c>
      <c r="L91" s="543" t="s">
        <v>940</v>
      </c>
      <c r="M91" s="543" t="s">
        <v>940</v>
      </c>
      <c r="N91" s="543" t="s">
        <v>940</v>
      </c>
      <c r="O91" s="543">
        <v>10</v>
      </c>
      <c r="P91" s="543">
        <v>15</v>
      </c>
      <c r="Q91" s="543">
        <v>20</v>
      </c>
      <c r="R91" s="543" t="s">
        <v>941</v>
      </c>
      <c r="S91" s="543">
        <v>15</v>
      </c>
      <c r="T91" s="543">
        <v>20</v>
      </c>
      <c r="U91" s="543">
        <v>25</v>
      </c>
      <c r="V91" s="543">
        <v>10</v>
      </c>
      <c r="W91" s="543">
        <v>15</v>
      </c>
      <c r="X91" s="543">
        <v>10</v>
      </c>
      <c r="Y91" s="543" t="s">
        <v>940</v>
      </c>
    </row>
    <row r="92" spans="3:25" x14ac:dyDescent="0.2">
      <c r="C92" s="88" t="str">
        <f>'G-1 All Habitats'!B90</f>
        <v>Woodland and forest - Other coniferous woodland</v>
      </c>
      <c r="D92" s="543" t="s">
        <v>940</v>
      </c>
      <c r="E92" s="543" t="s">
        <v>940</v>
      </c>
      <c r="F92" s="543" t="s">
        <v>940</v>
      </c>
      <c r="G92" s="543" t="s">
        <v>940</v>
      </c>
      <c r="H92" s="543" t="s">
        <v>940</v>
      </c>
      <c r="I92" s="543" t="s">
        <v>940</v>
      </c>
      <c r="J92" s="543" t="s">
        <v>940</v>
      </c>
      <c r="K92" s="543" t="s">
        <v>940</v>
      </c>
      <c r="L92" s="543" t="s">
        <v>940</v>
      </c>
      <c r="M92" s="543" t="s">
        <v>940</v>
      </c>
      <c r="N92" s="543" t="s">
        <v>940</v>
      </c>
      <c r="O92" s="543">
        <v>5</v>
      </c>
      <c r="P92" s="543">
        <v>25</v>
      </c>
      <c r="Q92" s="543" t="s">
        <v>941</v>
      </c>
      <c r="R92" s="543" t="s">
        <v>941</v>
      </c>
      <c r="S92" s="543">
        <v>20</v>
      </c>
      <c r="T92" s="543">
        <v>15</v>
      </c>
      <c r="U92" s="543">
        <v>25</v>
      </c>
      <c r="V92" s="543">
        <v>5</v>
      </c>
      <c r="W92" s="543">
        <v>7</v>
      </c>
      <c r="X92" s="543">
        <v>10</v>
      </c>
      <c r="Y92" s="543" t="s">
        <v>940</v>
      </c>
    </row>
    <row r="93" spans="3:25" x14ac:dyDescent="0.2">
      <c r="C93" s="88" t="str">
        <f>'G-1 All Habitats'!B91</f>
        <v>Woodland and forest - Other Scot's Pine woodland</v>
      </c>
      <c r="D93" s="543" t="s">
        <v>940</v>
      </c>
      <c r="E93" s="543" t="s">
        <v>940</v>
      </c>
      <c r="F93" s="543">
        <v>20</v>
      </c>
      <c r="G93" s="543">
        <v>25</v>
      </c>
      <c r="H93" s="543" t="s">
        <v>941</v>
      </c>
      <c r="I93" s="543" t="s">
        <v>941</v>
      </c>
      <c r="J93" s="543" t="s">
        <v>941</v>
      </c>
      <c r="K93" s="543" t="s">
        <v>940</v>
      </c>
      <c r="L93" s="543" t="s">
        <v>940</v>
      </c>
      <c r="M93" s="543" t="s">
        <v>940</v>
      </c>
      <c r="N93" s="543" t="s">
        <v>940</v>
      </c>
      <c r="O93" s="543">
        <v>10</v>
      </c>
      <c r="P93" s="543">
        <v>15</v>
      </c>
      <c r="Q93" s="543">
        <v>20</v>
      </c>
      <c r="R93" s="543" t="s">
        <v>941</v>
      </c>
      <c r="S93" s="543">
        <v>15</v>
      </c>
      <c r="T93" s="543">
        <v>20</v>
      </c>
      <c r="U93" s="543">
        <v>25</v>
      </c>
      <c r="V93" s="543">
        <v>10</v>
      </c>
      <c r="W93" s="543">
        <v>15</v>
      </c>
      <c r="X93" s="543">
        <v>10</v>
      </c>
      <c r="Y93" s="543" t="s">
        <v>940</v>
      </c>
    </row>
    <row r="94" spans="3:25" x14ac:dyDescent="0.2">
      <c r="C94" s="88" t="str">
        <f>'G-1 All Habitats'!B92</f>
        <v>Woodland and forest - Other woodland; broadleaved</v>
      </c>
      <c r="D94" s="543" t="s">
        <v>940</v>
      </c>
      <c r="E94" s="543" t="s">
        <v>940</v>
      </c>
      <c r="F94" s="543">
        <v>5</v>
      </c>
      <c r="G94" s="543">
        <v>10</v>
      </c>
      <c r="H94" s="543">
        <v>15</v>
      </c>
      <c r="I94" s="543">
        <v>20</v>
      </c>
      <c r="J94" s="543">
        <v>25</v>
      </c>
      <c r="K94" s="543" t="s">
        <v>940</v>
      </c>
      <c r="L94" s="543" t="s">
        <v>940</v>
      </c>
      <c r="M94" s="543" t="s">
        <v>940</v>
      </c>
      <c r="N94" s="543" t="s">
        <v>940</v>
      </c>
      <c r="O94" s="543">
        <v>5</v>
      </c>
      <c r="P94" s="543">
        <v>10</v>
      </c>
      <c r="Q94" s="543">
        <v>15</v>
      </c>
      <c r="R94" s="543">
        <v>20</v>
      </c>
      <c r="S94" s="543">
        <v>5</v>
      </c>
      <c r="T94" s="543">
        <v>10</v>
      </c>
      <c r="U94" s="543">
        <v>15</v>
      </c>
      <c r="V94" s="543">
        <v>5</v>
      </c>
      <c r="W94" s="543">
        <v>10</v>
      </c>
      <c r="X94" s="543">
        <v>5</v>
      </c>
      <c r="Y94" s="543" t="s">
        <v>940</v>
      </c>
    </row>
    <row r="95" spans="3:25" x14ac:dyDescent="0.2">
      <c r="C95" s="88" t="str">
        <f>'G-1 All Habitats'!B93</f>
        <v>Woodland and forest - Other woodland; mixed</v>
      </c>
      <c r="D95" s="543" t="s">
        <v>940</v>
      </c>
      <c r="E95" s="543" t="s">
        <v>940</v>
      </c>
      <c r="F95" s="543">
        <v>5</v>
      </c>
      <c r="G95" s="543">
        <v>10</v>
      </c>
      <c r="H95" s="543">
        <v>15</v>
      </c>
      <c r="I95" s="543">
        <v>20</v>
      </c>
      <c r="J95" s="543">
        <v>25</v>
      </c>
      <c r="K95" s="543" t="s">
        <v>940</v>
      </c>
      <c r="L95" s="543" t="s">
        <v>940</v>
      </c>
      <c r="M95" s="543" t="s">
        <v>940</v>
      </c>
      <c r="N95" s="543" t="s">
        <v>940</v>
      </c>
      <c r="O95" s="543">
        <v>5</v>
      </c>
      <c r="P95" s="543">
        <v>10</v>
      </c>
      <c r="Q95" s="543">
        <v>15</v>
      </c>
      <c r="R95" s="543">
        <v>20</v>
      </c>
      <c r="S95" s="543">
        <v>5</v>
      </c>
      <c r="T95" s="543">
        <v>10</v>
      </c>
      <c r="U95" s="543">
        <v>15</v>
      </c>
      <c r="V95" s="543">
        <v>5</v>
      </c>
      <c r="W95" s="543">
        <v>10</v>
      </c>
      <c r="X95" s="543">
        <v>5</v>
      </c>
      <c r="Y95" s="543" t="s">
        <v>940</v>
      </c>
    </row>
    <row r="96" spans="3:25" x14ac:dyDescent="0.2">
      <c r="C96" s="88" t="str">
        <f>'G-1 All Habitats'!B94</f>
        <v>Woodland and forest - Upland birchwoods</v>
      </c>
      <c r="D96" s="543" t="s">
        <v>940</v>
      </c>
      <c r="E96" s="543" t="s">
        <v>940</v>
      </c>
      <c r="F96" s="543">
        <v>10</v>
      </c>
      <c r="G96" s="543">
        <v>20</v>
      </c>
      <c r="H96" s="543">
        <v>25</v>
      </c>
      <c r="I96" s="543">
        <v>30</v>
      </c>
      <c r="J96" s="543" t="s">
        <v>941</v>
      </c>
      <c r="K96" s="543" t="s">
        <v>940</v>
      </c>
      <c r="L96" s="543" t="s">
        <v>940</v>
      </c>
      <c r="M96" s="543" t="s">
        <v>940</v>
      </c>
      <c r="N96" s="543" t="s">
        <v>940</v>
      </c>
      <c r="O96" s="543">
        <v>10</v>
      </c>
      <c r="P96" s="543">
        <v>15</v>
      </c>
      <c r="Q96" s="543">
        <v>20</v>
      </c>
      <c r="R96" s="543" t="s">
        <v>941</v>
      </c>
      <c r="S96" s="543">
        <v>15</v>
      </c>
      <c r="T96" s="543">
        <v>20</v>
      </c>
      <c r="U96" s="543">
        <v>25</v>
      </c>
      <c r="V96" s="543">
        <v>10</v>
      </c>
      <c r="W96" s="543">
        <v>15</v>
      </c>
      <c r="X96" s="543">
        <v>10</v>
      </c>
      <c r="Y96" s="543" t="s">
        <v>940</v>
      </c>
    </row>
    <row r="97" spans="3:25" x14ac:dyDescent="0.2">
      <c r="C97" s="88" t="str">
        <f>'G-1 All Habitats'!B95</f>
        <v>Woodland and forest - Upland mixed ashwoods</v>
      </c>
      <c r="D97" s="543" t="s">
        <v>940</v>
      </c>
      <c r="E97" s="543" t="s">
        <v>940</v>
      </c>
      <c r="F97" s="543">
        <v>10</v>
      </c>
      <c r="G97" s="543">
        <v>25</v>
      </c>
      <c r="H97" s="543" t="s">
        <v>941</v>
      </c>
      <c r="I97" s="543" t="s">
        <v>941</v>
      </c>
      <c r="J97" s="543" t="s">
        <v>941</v>
      </c>
      <c r="K97" s="543" t="s">
        <v>940</v>
      </c>
      <c r="L97" s="543" t="s">
        <v>940</v>
      </c>
      <c r="M97" s="543" t="s">
        <v>940</v>
      </c>
      <c r="N97" s="543" t="s">
        <v>940</v>
      </c>
      <c r="O97" s="543">
        <v>10</v>
      </c>
      <c r="P97" s="543">
        <v>15</v>
      </c>
      <c r="Q97" s="543">
        <v>20</v>
      </c>
      <c r="R97" s="543" t="s">
        <v>941</v>
      </c>
      <c r="S97" s="543">
        <v>15</v>
      </c>
      <c r="T97" s="543">
        <v>20</v>
      </c>
      <c r="U97" s="543">
        <v>25</v>
      </c>
      <c r="V97" s="543">
        <v>10</v>
      </c>
      <c r="W97" s="543">
        <v>15</v>
      </c>
      <c r="X97" s="543">
        <v>10</v>
      </c>
      <c r="Y97" s="543" t="s">
        <v>940</v>
      </c>
    </row>
    <row r="98" spans="3:25" x14ac:dyDescent="0.2">
      <c r="C98" s="88" t="str">
        <f>'G-1 All Habitats'!B96</f>
        <v>Woodland and forest - Upland oakwood</v>
      </c>
      <c r="D98" s="543" t="s">
        <v>940</v>
      </c>
      <c r="E98" s="543" t="s">
        <v>940</v>
      </c>
      <c r="F98" s="543">
        <v>10</v>
      </c>
      <c r="G98" s="543">
        <v>25</v>
      </c>
      <c r="H98" s="543" t="s">
        <v>941</v>
      </c>
      <c r="I98" s="543" t="s">
        <v>941</v>
      </c>
      <c r="J98" s="543" t="s">
        <v>941</v>
      </c>
      <c r="K98" s="543" t="s">
        <v>940</v>
      </c>
      <c r="L98" s="543" t="s">
        <v>940</v>
      </c>
      <c r="M98" s="543" t="s">
        <v>940</v>
      </c>
      <c r="N98" s="543" t="s">
        <v>940</v>
      </c>
      <c r="O98" s="543">
        <v>25</v>
      </c>
      <c r="P98" s="543" t="s">
        <v>941</v>
      </c>
      <c r="Q98" s="543" t="s">
        <v>941</v>
      </c>
      <c r="R98" s="543" t="s">
        <v>941</v>
      </c>
      <c r="S98" s="543" t="s">
        <v>941</v>
      </c>
      <c r="T98" s="543" t="s">
        <v>941</v>
      </c>
      <c r="U98" s="543" t="s">
        <v>941</v>
      </c>
      <c r="V98" s="543" t="s">
        <v>941</v>
      </c>
      <c r="W98" s="543" t="s">
        <v>941</v>
      </c>
      <c r="X98" s="543" t="s">
        <v>941</v>
      </c>
      <c r="Y98" s="543" t="s">
        <v>940</v>
      </c>
    </row>
    <row r="99" spans="3:25" x14ac:dyDescent="0.2">
      <c r="C99" s="88" t="str">
        <f>'G-1 All Habitats'!B97</f>
        <v>Woodland and forest - Wet woodland</v>
      </c>
      <c r="D99" s="543" t="s">
        <v>940</v>
      </c>
      <c r="E99" s="543" t="s">
        <v>940</v>
      </c>
      <c r="F99" s="543">
        <v>10</v>
      </c>
      <c r="G99" s="543">
        <v>20</v>
      </c>
      <c r="H99" s="543">
        <v>25</v>
      </c>
      <c r="I99" s="543">
        <v>30</v>
      </c>
      <c r="J99" s="543" t="s">
        <v>941</v>
      </c>
      <c r="K99" s="543" t="s">
        <v>940</v>
      </c>
      <c r="L99" s="543" t="s">
        <v>940</v>
      </c>
      <c r="M99" s="543" t="s">
        <v>940</v>
      </c>
      <c r="N99" s="543" t="s">
        <v>940</v>
      </c>
      <c r="O99" s="543">
        <v>10</v>
      </c>
      <c r="P99" s="543">
        <v>10</v>
      </c>
      <c r="Q99" s="543">
        <v>15</v>
      </c>
      <c r="R99" s="543" t="s">
        <v>941</v>
      </c>
      <c r="S99" s="543">
        <v>15</v>
      </c>
      <c r="T99" s="543">
        <v>20</v>
      </c>
      <c r="U99" s="543">
        <v>25</v>
      </c>
      <c r="V99" s="543">
        <v>10</v>
      </c>
      <c r="W99" s="543">
        <v>15</v>
      </c>
      <c r="X99" s="543">
        <v>10</v>
      </c>
      <c r="Y99" s="543" t="s">
        <v>940</v>
      </c>
    </row>
    <row r="100" spans="3:25" x14ac:dyDescent="0.2">
      <c r="C100" s="88" t="str">
        <f>'G-1 All Habitats'!B98</f>
        <v>Woodland and forest - Wood-pasture and parkland</v>
      </c>
      <c r="D100" s="543" t="s">
        <v>940</v>
      </c>
      <c r="E100" s="543" t="s">
        <v>940</v>
      </c>
      <c r="F100" s="543">
        <v>10</v>
      </c>
      <c r="G100" s="543">
        <v>25</v>
      </c>
      <c r="H100" s="543" t="s">
        <v>941</v>
      </c>
      <c r="I100" s="543" t="s">
        <v>941</v>
      </c>
      <c r="J100" s="543" t="s">
        <v>941</v>
      </c>
      <c r="K100" s="543" t="s">
        <v>940</v>
      </c>
      <c r="L100" s="543" t="s">
        <v>940</v>
      </c>
      <c r="M100" s="543" t="s">
        <v>940</v>
      </c>
      <c r="N100" s="543" t="s">
        <v>940</v>
      </c>
      <c r="O100" s="543">
        <v>25</v>
      </c>
      <c r="P100" s="543" t="s">
        <v>941</v>
      </c>
      <c r="Q100" s="543" t="s">
        <v>941</v>
      </c>
      <c r="R100" s="543" t="s">
        <v>941</v>
      </c>
      <c r="S100" s="543" t="s">
        <v>941</v>
      </c>
      <c r="T100" s="543" t="s">
        <v>941</v>
      </c>
      <c r="U100" s="543" t="s">
        <v>941</v>
      </c>
      <c r="V100" s="543" t="s">
        <v>941</v>
      </c>
      <c r="W100" s="543" t="s">
        <v>941</v>
      </c>
      <c r="X100" s="543" t="s">
        <v>941</v>
      </c>
      <c r="Y100" s="543" t="s">
        <v>940</v>
      </c>
    </row>
    <row r="101" spans="3:25" x14ac:dyDescent="0.2">
      <c r="C101" s="88" t="str">
        <f>'G-1 All Habitats'!B99</f>
        <v>Coastal lagoons - Coastal lagoons</v>
      </c>
      <c r="D101" s="543" t="s">
        <v>940</v>
      </c>
      <c r="E101" s="543" t="s">
        <v>940</v>
      </c>
      <c r="F101" s="543" t="s">
        <v>940</v>
      </c>
      <c r="G101" s="543" t="s">
        <v>940</v>
      </c>
      <c r="H101" s="543" t="s">
        <v>940</v>
      </c>
      <c r="I101" s="543" t="s">
        <v>940</v>
      </c>
      <c r="J101" s="543" t="s">
        <v>940</v>
      </c>
      <c r="K101" s="543" t="s">
        <v>940</v>
      </c>
      <c r="L101" s="543" t="s">
        <v>940</v>
      </c>
      <c r="M101" s="543" t="s">
        <v>940</v>
      </c>
      <c r="N101" s="543" t="s">
        <v>940</v>
      </c>
      <c r="O101" s="543">
        <v>1</v>
      </c>
      <c r="P101" s="543">
        <v>4</v>
      </c>
      <c r="Q101" s="543">
        <v>8</v>
      </c>
      <c r="R101" s="543">
        <v>12</v>
      </c>
      <c r="S101" s="543">
        <v>3</v>
      </c>
      <c r="T101" s="543">
        <v>7</v>
      </c>
      <c r="U101" s="543">
        <v>11</v>
      </c>
      <c r="V101" s="543">
        <v>4</v>
      </c>
      <c r="W101" s="543">
        <v>8</v>
      </c>
      <c r="X101" s="543">
        <v>4</v>
      </c>
      <c r="Y101" s="543" t="s">
        <v>940</v>
      </c>
    </row>
    <row r="102" spans="3:25" x14ac:dyDescent="0.2">
      <c r="C102" s="88" t="str">
        <f>'G-1 All Habitats'!B100</f>
        <v>Rocky shore - High energy littoral rock</v>
      </c>
      <c r="D102" s="543" t="s">
        <v>940</v>
      </c>
      <c r="E102" s="543" t="s">
        <v>940</v>
      </c>
      <c r="F102" s="543" t="s">
        <v>940</v>
      </c>
      <c r="G102" s="543" t="s">
        <v>940</v>
      </c>
      <c r="H102" s="543" t="s">
        <v>940</v>
      </c>
      <c r="I102" s="543" t="s">
        <v>940</v>
      </c>
      <c r="J102" s="543" t="s">
        <v>940</v>
      </c>
      <c r="K102" s="543" t="s">
        <v>940</v>
      </c>
      <c r="L102" s="543" t="s">
        <v>940</v>
      </c>
      <c r="M102" s="543" t="s">
        <v>940</v>
      </c>
      <c r="N102" s="543" t="s">
        <v>940</v>
      </c>
      <c r="O102" s="543">
        <v>2</v>
      </c>
      <c r="P102" s="543">
        <v>4</v>
      </c>
      <c r="Q102" s="543">
        <v>6</v>
      </c>
      <c r="R102" s="543">
        <v>10</v>
      </c>
      <c r="S102" s="543">
        <v>2</v>
      </c>
      <c r="T102" s="543">
        <v>4</v>
      </c>
      <c r="U102" s="543">
        <v>8</v>
      </c>
      <c r="V102" s="543">
        <v>2</v>
      </c>
      <c r="W102" s="543">
        <v>6</v>
      </c>
      <c r="X102" s="543">
        <v>4</v>
      </c>
      <c r="Y102" s="543" t="s">
        <v>940</v>
      </c>
    </row>
    <row r="103" spans="3:25" x14ac:dyDescent="0.2">
      <c r="C103" s="88" t="str">
        <f>'G-1 All Habitats'!B101</f>
        <v>Rocky shore - High energy littoral rock - on peat, clay or chalk</v>
      </c>
      <c r="D103" s="543" t="s">
        <v>940</v>
      </c>
      <c r="E103" s="543" t="s">
        <v>940</v>
      </c>
      <c r="F103" s="543" t="s">
        <v>940</v>
      </c>
      <c r="G103" s="543" t="s">
        <v>940</v>
      </c>
      <c r="H103" s="543" t="s">
        <v>940</v>
      </c>
      <c r="I103" s="543" t="s">
        <v>940</v>
      </c>
      <c r="J103" s="543" t="s">
        <v>940</v>
      </c>
      <c r="K103" s="543" t="s">
        <v>940</v>
      </c>
      <c r="L103" s="543" t="s">
        <v>940</v>
      </c>
      <c r="M103" s="543" t="s">
        <v>940</v>
      </c>
      <c r="N103" s="543" t="s">
        <v>940</v>
      </c>
      <c r="O103" s="543">
        <v>2</v>
      </c>
      <c r="P103" s="543">
        <v>4</v>
      </c>
      <c r="Q103" s="543">
        <v>6</v>
      </c>
      <c r="R103" s="543">
        <v>10</v>
      </c>
      <c r="S103" s="543">
        <v>2</v>
      </c>
      <c r="T103" s="543">
        <v>4</v>
      </c>
      <c r="U103" s="543">
        <v>8</v>
      </c>
      <c r="V103" s="543">
        <v>2</v>
      </c>
      <c r="W103" s="543">
        <v>6</v>
      </c>
      <c r="X103" s="543">
        <v>4</v>
      </c>
      <c r="Y103" s="543" t="s">
        <v>940</v>
      </c>
    </row>
    <row r="104" spans="3:25" x14ac:dyDescent="0.2">
      <c r="C104" s="88" t="str">
        <f>'G-1 All Habitats'!B102</f>
        <v>Rocky shore - Moderate energy littoral rock</v>
      </c>
      <c r="D104" s="543" t="s">
        <v>940</v>
      </c>
      <c r="E104" s="543" t="s">
        <v>940</v>
      </c>
      <c r="F104" s="543" t="s">
        <v>940</v>
      </c>
      <c r="G104" s="543" t="s">
        <v>940</v>
      </c>
      <c r="H104" s="543" t="s">
        <v>940</v>
      </c>
      <c r="I104" s="543" t="s">
        <v>940</v>
      </c>
      <c r="J104" s="543" t="s">
        <v>940</v>
      </c>
      <c r="K104" s="543" t="s">
        <v>940</v>
      </c>
      <c r="L104" s="543" t="s">
        <v>940</v>
      </c>
      <c r="M104" s="543" t="s">
        <v>940</v>
      </c>
      <c r="N104" s="543" t="s">
        <v>940</v>
      </c>
      <c r="O104" s="543">
        <v>2</v>
      </c>
      <c r="P104" s="543">
        <v>4</v>
      </c>
      <c r="Q104" s="543">
        <v>6</v>
      </c>
      <c r="R104" s="543">
        <v>11</v>
      </c>
      <c r="S104" s="543">
        <v>2</v>
      </c>
      <c r="T104" s="543">
        <v>4</v>
      </c>
      <c r="U104" s="543">
        <v>9</v>
      </c>
      <c r="V104" s="543">
        <v>2</v>
      </c>
      <c r="W104" s="543">
        <v>7</v>
      </c>
      <c r="X104" s="543">
        <v>5</v>
      </c>
      <c r="Y104" s="543" t="s">
        <v>940</v>
      </c>
    </row>
    <row r="105" spans="3:25" x14ac:dyDescent="0.2">
      <c r="C105" s="88" t="str">
        <f>'G-1 All Habitats'!B103</f>
        <v>Rocky shore - Moderate energy littoral rock - on peat, clay or chalk</v>
      </c>
      <c r="D105" s="543" t="s">
        <v>940</v>
      </c>
      <c r="E105" s="543" t="s">
        <v>940</v>
      </c>
      <c r="F105" s="543" t="s">
        <v>940</v>
      </c>
      <c r="G105" s="543" t="s">
        <v>940</v>
      </c>
      <c r="H105" s="543" t="s">
        <v>940</v>
      </c>
      <c r="I105" s="543" t="s">
        <v>940</v>
      </c>
      <c r="J105" s="543" t="s">
        <v>940</v>
      </c>
      <c r="K105" s="543" t="s">
        <v>940</v>
      </c>
      <c r="L105" s="543" t="s">
        <v>940</v>
      </c>
      <c r="M105" s="543" t="s">
        <v>940</v>
      </c>
      <c r="N105" s="543" t="s">
        <v>940</v>
      </c>
      <c r="O105" s="543">
        <v>2</v>
      </c>
      <c r="P105" s="543">
        <v>4</v>
      </c>
      <c r="Q105" s="543">
        <v>6</v>
      </c>
      <c r="R105" s="543">
        <v>11</v>
      </c>
      <c r="S105" s="543">
        <v>2</v>
      </c>
      <c r="T105" s="543">
        <v>4</v>
      </c>
      <c r="U105" s="543">
        <v>9</v>
      </c>
      <c r="V105" s="543">
        <v>2</v>
      </c>
      <c r="W105" s="543">
        <v>7</v>
      </c>
      <c r="X105" s="543">
        <v>5</v>
      </c>
      <c r="Y105" s="543" t="s">
        <v>940</v>
      </c>
    </row>
    <row r="106" spans="3:25" x14ac:dyDescent="0.2">
      <c r="C106" s="88" t="str">
        <f>'G-1 All Habitats'!B104</f>
        <v>Rocky shore - Low energy littoral rock</v>
      </c>
      <c r="D106" s="543" t="s">
        <v>940</v>
      </c>
      <c r="E106" s="543" t="s">
        <v>940</v>
      </c>
      <c r="F106" s="543" t="s">
        <v>940</v>
      </c>
      <c r="G106" s="543" t="s">
        <v>940</v>
      </c>
      <c r="H106" s="543" t="s">
        <v>940</v>
      </c>
      <c r="I106" s="543" t="s">
        <v>940</v>
      </c>
      <c r="J106" s="543" t="s">
        <v>940</v>
      </c>
      <c r="K106" s="543" t="s">
        <v>940</v>
      </c>
      <c r="L106" s="543" t="s">
        <v>940</v>
      </c>
      <c r="M106" s="543" t="s">
        <v>940</v>
      </c>
      <c r="N106" s="543" t="s">
        <v>940</v>
      </c>
      <c r="O106" s="543">
        <v>2</v>
      </c>
      <c r="P106" s="543">
        <v>4</v>
      </c>
      <c r="Q106" s="543">
        <v>6</v>
      </c>
      <c r="R106" s="543">
        <v>12</v>
      </c>
      <c r="S106" s="543">
        <v>2</v>
      </c>
      <c r="T106" s="543">
        <v>4</v>
      </c>
      <c r="U106" s="543">
        <v>10</v>
      </c>
      <c r="V106" s="543">
        <v>2</v>
      </c>
      <c r="W106" s="543">
        <v>8</v>
      </c>
      <c r="X106" s="543">
        <v>6</v>
      </c>
      <c r="Y106" s="543" t="s">
        <v>940</v>
      </c>
    </row>
    <row r="107" spans="3:25" x14ac:dyDescent="0.2">
      <c r="C107" s="88" t="str">
        <f>'G-1 All Habitats'!B105</f>
        <v>Rocky shore - Low energy littoral rock - on peat, clay or chalk</v>
      </c>
      <c r="D107" s="543" t="s">
        <v>940</v>
      </c>
      <c r="E107" s="543" t="s">
        <v>940</v>
      </c>
      <c r="F107" s="543" t="s">
        <v>940</v>
      </c>
      <c r="G107" s="543" t="s">
        <v>940</v>
      </c>
      <c r="H107" s="543" t="s">
        <v>940</v>
      </c>
      <c r="I107" s="543" t="s">
        <v>940</v>
      </c>
      <c r="J107" s="543" t="s">
        <v>940</v>
      </c>
      <c r="K107" s="543" t="s">
        <v>940</v>
      </c>
      <c r="L107" s="543" t="s">
        <v>940</v>
      </c>
      <c r="M107" s="543" t="s">
        <v>940</v>
      </c>
      <c r="N107" s="543" t="s">
        <v>940</v>
      </c>
      <c r="O107" s="543">
        <v>2</v>
      </c>
      <c r="P107" s="543">
        <v>4</v>
      </c>
      <c r="Q107" s="543">
        <v>6</v>
      </c>
      <c r="R107" s="543">
        <v>12</v>
      </c>
      <c r="S107" s="543">
        <v>2</v>
      </c>
      <c r="T107" s="543">
        <v>4</v>
      </c>
      <c r="U107" s="543">
        <v>10</v>
      </c>
      <c r="V107" s="543">
        <v>2</v>
      </c>
      <c r="W107" s="543">
        <v>8</v>
      </c>
      <c r="X107" s="543">
        <v>6</v>
      </c>
      <c r="Y107" s="543" t="s">
        <v>940</v>
      </c>
    </row>
    <row r="108" spans="3:25" x14ac:dyDescent="0.2">
      <c r="C108" s="88" t="str">
        <f>'G-1 All Habitats'!B106</f>
        <v>Rocky shore - Features of littoral rock</v>
      </c>
      <c r="D108" s="543" t="s">
        <v>940</v>
      </c>
      <c r="E108" s="543" t="s">
        <v>940</v>
      </c>
      <c r="F108" s="543" t="s">
        <v>940</v>
      </c>
      <c r="G108" s="543" t="s">
        <v>940</v>
      </c>
      <c r="H108" s="543" t="s">
        <v>940</v>
      </c>
      <c r="I108" s="543" t="s">
        <v>940</v>
      </c>
      <c r="J108" s="543" t="s">
        <v>940</v>
      </c>
      <c r="K108" s="543" t="s">
        <v>940</v>
      </c>
      <c r="L108" s="543" t="s">
        <v>940</v>
      </c>
      <c r="M108" s="543" t="s">
        <v>940</v>
      </c>
      <c r="N108" s="543" t="s">
        <v>940</v>
      </c>
      <c r="O108" s="543">
        <v>2</v>
      </c>
      <c r="P108" s="543">
        <v>4</v>
      </c>
      <c r="Q108" s="543">
        <v>6</v>
      </c>
      <c r="R108" s="543">
        <v>11</v>
      </c>
      <c r="S108" s="543">
        <v>2</v>
      </c>
      <c r="T108" s="543">
        <v>4</v>
      </c>
      <c r="U108" s="543">
        <v>9</v>
      </c>
      <c r="V108" s="543">
        <v>2</v>
      </c>
      <c r="W108" s="543">
        <v>7</v>
      </c>
      <c r="X108" s="543">
        <v>5</v>
      </c>
      <c r="Y108" s="543" t="s">
        <v>940</v>
      </c>
    </row>
    <row r="109" spans="3:25" x14ac:dyDescent="0.2">
      <c r="C109" s="88" t="str">
        <f>'G-1 All Habitats'!B107</f>
        <v>Rocky shore - Features of littoral rock - on peat, clay or chalk</v>
      </c>
      <c r="D109" s="543" t="s">
        <v>940</v>
      </c>
      <c r="E109" s="543" t="s">
        <v>940</v>
      </c>
      <c r="F109" s="543" t="s">
        <v>940</v>
      </c>
      <c r="G109" s="543" t="s">
        <v>940</v>
      </c>
      <c r="H109" s="543" t="s">
        <v>940</v>
      </c>
      <c r="I109" s="543" t="s">
        <v>940</v>
      </c>
      <c r="J109" s="543" t="s">
        <v>940</v>
      </c>
      <c r="K109" s="543" t="s">
        <v>940</v>
      </c>
      <c r="L109" s="543" t="s">
        <v>940</v>
      </c>
      <c r="M109" s="543" t="s">
        <v>940</v>
      </c>
      <c r="N109" s="543" t="s">
        <v>940</v>
      </c>
      <c r="O109" s="543">
        <v>2</v>
      </c>
      <c r="P109" s="543">
        <v>4</v>
      </c>
      <c r="Q109" s="543">
        <v>6</v>
      </c>
      <c r="R109" s="543">
        <v>11</v>
      </c>
      <c r="S109" s="543">
        <v>2</v>
      </c>
      <c r="T109" s="543">
        <v>4</v>
      </c>
      <c r="U109" s="543">
        <v>9</v>
      </c>
      <c r="V109" s="543">
        <v>2</v>
      </c>
      <c r="W109" s="543">
        <v>7</v>
      </c>
      <c r="X109" s="543">
        <v>5</v>
      </c>
      <c r="Y109" s="543" t="s">
        <v>940</v>
      </c>
    </row>
    <row r="110" spans="3:25" x14ac:dyDescent="0.2">
      <c r="C110" s="88" t="str">
        <f>'G-1 All Habitats'!B110</f>
        <v>Intertidal sediment - Littoral coarse sediment</v>
      </c>
      <c r="D110" s="543" t="s">
        <v>940</v>
      </c>
      <c r="E110" s="543" t="s">
        <v>940</v>
      </c>
      <c r="F110" s="543" t="s">
        <v>940</v>
      </c>
      <c r="G110" s="543" t="s">
        <v>940</v>
      </c>
      <c r="H110" s="543" t="s">
        <v>940</v>
      </c>
      <c r="I110" s="543" t="s">
        <v>940</v>
      </c>
      <c r="J110" s="543" t="s">
        <v>940</v>
      </c>
      <c r="K110" s="543" t="s">
        <v>940</v>
      </c>
      <c r="L110" s="543" t="s">
        <v>940</v>
      </c>
      <c r="M110" s="543" t="s">
        <v>940</v>
      </c>
      <c r="N110" s="543" t="s">
        <v>940</v>
      </c>
      <c r="O110" s="543">
        <v>1</v>
      </c>
      <c r="P110" s="543">
        <v>2</v>
      </c>
      <c r="Q110" s="543">
        <v>3</v>
      </c>
      <c r="R110" s="543">
        <v>4</v>
      </c>
      <c r="S110" s="543">
        <v>1</v>
      </c>
      <c r="T110" s="543">
        <v>2</v>
      </c>
      <c r="U110" s="543">
        <v>3</v>
      </c>
      <c r="V110" s="543">
        <v>1</v>
      </c>
      <c r="W110" s="543">
        <v>2</v>
      </c>
      <c r="X110" s="543">
        <v>1</v>
      </c>
      <c r="Y110" s="543" t="s">
        <v>940</v>
      </c>
    </row>
    <row r="111" spans="3:25" x14ac:dyDescent="0.2">
      <c r="C111" s="88" t="str">
        <f>'G-1 All Habitats'!B111</f>
        <v>Intertidal sediment - Littoral mud</v>
      </c>
      <c r="D111" s="543" t="s">
        <v>940</v>
      </c>
      <c r="E111" s="543" t="s">
        <v>940</v>
      </c>
      <c r="F111" s="543" t="s">
        <v>940</v>
      </c>
      <c r="G111" s="543" t="s">
        <v>940</v>
      </c>
      <c r="H111" s="543" t="s">
        <v>940</v>
      </c>
      <c r="I111" s="543" t="s">
        <v>940</v>
      </c>
      <c r="J111" s="543" t="s">
        <v>940</v>
      </c>
      <c r="K111" s="543" t="s">
        <v>940</v>
      </c>
      <c r="L111" s="543" t="s">
        <v>940</v>
      </c>
      <c r="M111" s="543" t="s">
        <v>940</v>
      </c>
      <c r="N111" s="543" t="s">
        <v>940</v>
      </c>
      <c r="O111" s="543">
        <v>2</v>
      </c>
      <c r="P111" s="543">
        <v>4</v>
      </c>
      <c r="Q111" s="543">
        <v>6</v>
      </c>
      <c r="R111" s="543">
        <v>8</v>
      </c>
      <c r="S111" s="543">
        <v>2</v>
      </c>
      <c r="T111" s="543">
        <v>4</v>
      </c>
      <c r="U111" s="543">
        <v>6</v>
      </c>
      <c r="V111" s="543">
        <v>2</v>
      </c>
      <c r="W111" s="543">
        <v>4</v>
      </c>
      <c r="X111" s="543">
        <v>2</v>
      </c>
      <c r="Y111" s="543" t="s">
        <v>940</v>
      </c>
    </row>
    <row r="112" spans="3:25" x14ac:dyDescent="0.2">
      <c r="C112" s="88" t="str">
        <f>'G-1 All Habitats'!B112</f>
        <v>Intertidal sediment - Littoral mixed sediments</v>
      </c>
      <c r="D112" s="543" t="s">
        <v>940</v>
      </c>
      <c r="E112" s="543" t="s">
        <v>940</v>
      </c>
      <c r="F112" s="543" t="s">
        <v>940</v>
      </c>
      <c r="G112" s="543" t="s">
        <v>940</v>
      </c>
      <c r="H112" s="543" t="s">
        <v>940</v>
      </c>
      <c r="I112" s="543" t="s">
        <v>940</v>
      </c>
      <c r="J112" s="543" t="s">
        <v>940</v>
      </c>
      <c r="K112" s="543" t="s">
        <v>940</v>
      </c>
      <c r="L112" s="543" t="s">
        <v>940</v>
      </c>
      <c r="M112" s="543" t="s">
        <v>940</v>
      </c>
      <c r="N112" s="543" t="s">
        <v>940</v>
      </c>
      <c r="O112" s="543">
        <v>1</v>
      </c>
      <c r="P112" s="543">
        <v>2</v>
      </c>
      <c r="Q112" s="543">
        <v>3</v>
      </c>
      <c r="R112" s="543">
        <v>4</v>
      </c>
      <c r="S112" s="543">
        <v>1</v>
      </c>
      <c r="T112" s="543">
        <v>2</v>
      </c>
      <c r="U112" s="543">
        <v>3</v>
      </c>
      <c r="V112" s="543">
        <v>1</v>
      </c>
      <c r="W112" s="543">
        <v>2</v>
      </c>
      <c r="X112" s="543">
        <v>1</v>
      </c>
      <c r="Y112" s="543" t="s">
        <v>940</v>
      </c>
    </row>
    <row r="113" spans="3:25" x14ac:dyDescent="0.2">
      <c r="C113" s="88" t="str">
        <f>'G-1 All Habitats'!B108</f>
        <v>Coastal saltmarsh - Saltmarshes and saline reedbeds</v>
      </c>
      <c r="D113" s="543" t="s">
        <v>940</v>
      </c>
      <c r="E113" s="543" t="s">
        <v>940</v>
      </c>
      <c r="F113" s="543" t="s">
        <v>940</v>
      </c>
      <c r="G113" s="543" t="s">
        <v>940</v>
      </c>
      <c r="H113" s="543" t="s">
        <v>940</v>
      </c>
      <c r="I113" s="543" t="s">
        <v>940</v>
      </c>
      <c r="J113" s="543" t="s">
        <v>940</v>
      </c>
      <c r="K113" s="543" t="s">
        <v>940</v>
      </c>
      <c r="L113" s="543" t="s">
        <v>940</v>
      </c>
      <c r="M113" s="543" t="s">
        <v>940</v>
      </c>
      <c r="N113" s="543" t="s">
        <v>940</v>
      </c>
      <c r="O113" s="543">
        <v>2</v>
      </c>
      <c r="P113" s="543">
        <v>6</v>
      </c>
      <c r="Q113" s="543">
        <v>10</v>
      </c>
      <c r="R113" s="543">
        <v>20</v>
      </c>
      <c r="S113" s="543">
        <v>4</v>
      </c>
      <c r="T113" s="543">
        <v>8</v>
      </c>
      <c r="U113" s="543">
        <v>18</v>
      </c>
      <c r="V113" s="543">
        <v>4</v>
      </c>
      <c r="W113" s="543">
        <v>14</v>
      </c>
      <c r="X113" s="543">
        <v>10</v>
      </c>
      <c r="Y113" s="543" t="s">
        <v>940</v>
      </c>
    </row>
    <row r="114" spans="3:25" x14ac:dyDescent="0.2">
      <c r="C114" s="88" t="str">
        <f>'G-1 All Habitats'!B109</f>
        <v>Coastal saltmarsh - Artificial saltmarshes and saline reedbeds</v>
      </c>
      <c r="D114" s="543" t="s">
        <v>940</v>
      </c>
      <c r="E114" s="543" t="s">
        <v>940</v>
      </c>
      <c r="F114" s="543" t="s">
        <v>940</v>
      </c>
      <c r="G114" s="543" t="s">
        <v>940</v>
      </c>
      <c r="H114" s="543" t="s">
        <v>940</v>
      </c>
      <c r="I114" s="543" t="s">
        <v>940</v>
      </c>
      <c r="J114" s="543" t="s">
        <v>940</v>
      </c>
      <c r="K114" s="543" t="s">
        <v>940</v>
      </c>
      <c r="L114" s="543" t="s">
        <v>940</v>
      </c>
      <c r="M114" s="543" t="s">
        <v>940</v>
      </c>
      <c r="N114" s="543" t="s">
        <v>940</v>
      </c>
      <c r="O114" s="543">
        <v>2</v>
      </c>
      <c r="P114" s="543">
        <v>6</v>
      </c>
      <c r="Q114" s="543">
        <v>10</v>
      </c>
      <c r="R114" s="543">
        <v>20</v>
      </c>
      <c r="S114" s="543">
        <v>4</v>
      </c>
      <c r="T114" s="543">
        <v>8</v>
      </c>
      <c r="U114" s="543">
        <v>18</v>
      </c>
      <c r="V114" s="543">
        <v>4</v>
      </c>
      <c r="W114" s="543">
        <v>14</v>
      </c>
      <c r="X114" s="543">
        <v>10</v>
      </c>
      <c r="Y114" s="543" t="s">
        <v>940</v>
      </c>
    </row>
    <row r="115" spans="3:25" x14ac:dyDescent="0.2">
      <c r="C115" s="88" t="str">
        <f>'G-1 All Habitats'!B113</f>
        <v>Intertidal sediment - Littoral seagrass</v>
      </c>
      <c r="D115" s="543" t="s">
        <v>940</v>
      </c>
      <c r="E115" s="543" t="s">
        <v>940</v>
      </c>
      <c r="F115" s="543" t="s">
        <v>940</v>
      </c>
      <c r="G115" s="543" t="s">
        <v>940</v>
      </c>
      <c r="H115" s="543" t="s">
        <v>940</v>
      </c>
      <c r="I115" s="543" t="s">
        <v>940</v>
      </c>
      <c r="J115" s="543" t="s">
        <v>940</v>
      </c>
      <c r="K115" s="543" t="s">
        <v>940</v>
      </c>
      <c r="L115" s="543" t="s">
        <v>940</v>
      </c>
      <c r="M115" s="543" t="s">
        <v>940</v>
      </c>
      <c r="N115" s="543" t="s">
        <v>940</v>
      </c>
      <c r="O115" s="543">
        <v>3</v>
      </c>
      <c r="P115" s="543">
        <v>13</v>
      </c>
      <c r="Q115" s="543">
        <v>23</v>
      </c>
      <c r="R115" s="543">
        <v>0</v>
      </c>
      <c r="S115" s="543">
        <v>10</v>
      </c>
      <c r="T115" s="543">
        <v>20</v>
      </c>
      <c r="U115" s="543">
        <v>30</v>
      </c>
      <c r="V115" s="543">
        <v>10</v>
      </c>
      <c r="W115" s="543">
        <v>20</v>
      </c>
      <c r="X115" s="543">
        <v>10</v>
      </c>
      <c r="Y115" s="543" t="s">
        <v>940</v>
      </c>
    </row>
    <row r="116" spans="3:25" x14ac:dyDescent="0.2">
      <c r="C116" s="88" t="str">
        <f>'G-1 All Habitats'!B114</f>
        <v>Intertidal sediment - Littoral seagrass on peat, clay or chalk</v>
      </c>
      <c r="D116" s="543" t="s">
        <v>940</v>
      </c>
      <c r="E116" s="543" t="s">
        <v>940</v>
      </c>
      <c r="F116" s="543" t="s">
        <v>940</v>
      </c>
      <c r="G116" s="543" t="s">
        <v>940</v>
      </c>
      <c r="H116" s="543" t="s">
        <v>940</v>
      </c>
      <c r="I116" s="543" t="s">
        <v>940</v>
      </c>
      <c r="J116" s="543" t="s">
        <v>940</v>
      </c>
      <c r="K116" s="543" t="s">
        <v>940</v>
      </c>
      <c r="L116" s="543" t="s">
        <v>940</v>
      </c>
      <c r="M116" s="543" t="s">
        <v>940</v>
      </c>
      <c r="N116" s="543" t="s">
        <v>940</v>
      </c>
      <c r="O116" s="543">
        <v>2</v>
      </c>
      <c r="P116" s="543">
        <v>4</v>
      </c>
      <c r="Q116" s="543">
        <v>7</v>
      </c>
      <c r="R116" s="543">
        <v>0</v>
      </c>
      <c r="S116" s="543">
        <v>2</v>
      </c>
      <c r="T116" s="543">
        <v>3</v>
      </c>
      <c r="U116" s="543">
        <v>8</v>
      </c>
      <c r="V116" s="543">
        <v>3</v>
      </c>
      <c r="W116" s="543">
        <v>6</v>
      </c>
      <c r="X116" s="543">
        <v>3</v>
      </c>
      <c r="Y116" s="543" t="s">
        <v>940</v>
      </c>
    </row>
    <row r="117" spans="3:25" x14ac:dyDescent="0.2">
      <c r="C117" s="88" t="str">
        <f>'G-1 All Habitats'!B115</f>
        <v>Intertidal sediment - Littoral biogenic reefs - Mussels</v>
      </c>
      <c r="D117" s="543" t="s">
        <v>940</v>
      </c>
      <c r="E117" s="543" t="s">
        <v>940</v>
      </c>
      <c r="F117" s="543" t="s">
        <v>940</v>
      </c>
      <c r="G117" s="543" t="s">
        <v>940</v>
      </c>
      <c r="H117" s="543" t="s">
        <v>940</v>
      </c>
      <c r="I117" s="543" t="s">
        <v>940</v>
      </c>
      <c r="J117" s="543" t="s">
        <v>940</v>
      </c>
      <c r="K117" s="543" t="s">
        <v>940</v>
      </c>
      <c r="L117" s="543" t="s">
        <v>940</v>
      </c>
      <c r="M117" s="543" t="s">
        <v>940</v>
      </c>
      <c r="N117" s="543" t="s">
        <v>940</v>
      </c>
      <c r="O117" s="543">
        <v>2</v>
      </c>
      <c r="P117" s="543">
        <v>4</v>
      </c>
      <c r="Q117" s="543">
        <v>7</v>
      </c>
      <c r="R117" s="543">
        <v>10</v>
      </c>
      <c r="S117" s="543">
        <v>2</v>
      </c>
      <c r="T117" s="543">
        <v>3</v>
      </c>
      <c r="U117" s="543">
        <v>8</v>
      </c>
      <c r="V117" s="543">
        <v>3</v>
      </c>
      <c r="W117" s="543">
        <v>6</v>
      </c>
      <c r="X117" s="543">
        <v>3</v>
      </c>
      <c r="Y117" s="543" t="s">
        <v>940</v>
      </c>
    </row>
    <row r="118" spans="3:25" x14ac:dyDescent="0.2">
      <c r="C118" s="88" t="str">
        <f>'G-1 All Habitats'!B116</f>
        <v>Intertidal sediment - Littoral biogenic reefs - Sabellaria</v>
      </c>
      <c r="D118" s="543" t="s">
        <v>940</v>
      </c>
      <c r="E118" s="543" t="s">
        <v>940</v>
      </c>
      <c r="F118" s="543" t="s">
        <v>940</v>
      </c>
      <c r="G118" s="543" t="s">
        <v>940</v>
      </c>
      <c r="H118" s="543" t="s">
        <v>940</v>
      </c>
      <c r="I118" s="543" t="s">
        <v>940</v>
      </c>
      <c r="J118" s="543" t="s">
        <v>940</v>
      </c>
      <c r="K118" s="543" t="s">
        <v>940</v>
      </c>
      <c r="L118" s="543" t="s">
        <v>940</v>
      </c>
      <c r="M118" s="543" t="s">
        <v>940</v>
      </c>
      <c r="N118" s="543" t="s">
        <v>940</v>
      </c>
      <c r="O118" s="543">
        <v>2</v>
      </c>
      <c r="P118" s="543">
        <v>4</v>
      </c>
      <c r="Q118" s="543">
        <v>7</v>
      </c>
      <c r="R118" s="543">
        <v>10</v>
      </c>
      <c r="S118" s="543">
        <v>2</v>
      </c>
      <c r="T118" s="543">
        <v>3</v>
      </c>
      <c r="U118" s="543">
        <v>8</v>
      </c>
      <c r="V118" s="543">
        <v>3</v>
      </c>
      <c r="W118" s="543">
        <v>6</v>
      </c>
      <c r="X118" s="543">
        <v>3</v>
      </c>
      <c r="Y118" s="543" t="s">
        <v>940</v>
      </c>
    </row>
    <row r="119" spans="3:25" x14ac:dyDescent="0.2">
      <c r="C119" s="88" t="str">
        <f>'G-1 All Habitats'!B117</f>
        <v>Intertidal sediment - Features of littoral sediment</v>
      </c>
      <c r="D119" s="543" t="s">
        <v>940</v>
      </c>
      <c r="E119" s="543" t="s">
        <v>940</v>
      </c>
      <c r="F119" s="543" t="s">
        <v>940</v>
      </c>
      <c r="G119" s="543" t="s">
        <v>940</v>
      </c>
      <c r="H119" s="543" t="s">
        <v>940</v>
      </c>
      <c r="I119" s="543" t="s">
        <v>940</v>
      </c>
      <c r="J119" s="543" t="s">
        <v>940</v>
      </c>
      <c r="K119" s="543" t="s">
        <v>940</v>
      </c>
      <c r="L119" s="543" t="s">
        <v>940</v>
      </c>
      <c r="M119" s="543" t="s">
        <v>940</v>
      </c>
      <c r="N119" s="543" t="s">
        <v>940</v>
      </c>
      <c r="O119" s="543">
        <v>1</v>
      </c>
      <c r="P119" s="543">
        <v>2</v>
      </c>
      <c r="Q119" s="543">
        <v>3</v>
      </c>
      <c r="R119" s="543">
        <v>5</v>
      </c>
      <c r="S119" s="543">
        <v>1</v>
      </c>
      <c r="T119" s="543">
        <v>2</v>
      </c>
      <c r="U119" s="543">
        <v>4</v>
      </c>
      <c r="V119" s="543">
        <v>1</v>
      </c>
      <c r="W119" s="543">
        <v>3</v>
      </c>
      <c r="X119" s="543">
        <v>2</v>
      </c>
      <c r="Y119" s="543" t="s">
        <v>940</v>
      </c>
    </row>
    <row r="120" spans="3:25" x14ac:dyDescent="0.2">
      <c r="C120" s="88" t="str">
        <f>'G-1 All Habitats'!B118</f>
        <v>Intertidal sediment - Artificial littoral coarse sediment</v>
      </c>
      <c r="D120" s="543" t="s">
        <v>940</v>
      </c>
      <c r="E120" s="543" t="s">
        <v>940</v>
      </c>
      <c r="F120" s="543" t="s">
        <v>940</v>
      </c>
      <c r="G120" s="543" t="s">
        <v>940</v>
      </c>
      <c r="H120" s="543" t="s">
        <v>940</v>
      </c>
      <c r="I120" s="543" t="s">
        <v>940</v>
      </c>
      <c r="J120" s="543" t="s">
        <v>940</v>
      </c>
      <c r="K120" s="543" t="s">
        <v>940</v>
      </c>
      <c r="L120" s="543" t="s">
        <v>940</v>
      </c>
      <c r="M120" s="543" t="s">
        <v>940</v>
      </c>
      <c r="N120" s="543" t="s">
        <v>940</v>
      </c>
      <c r="O120" s="543">
        <v>1</v>
      </c>
      <c r="P120" s="543">
        <v>2</v>
      </c>
      <c r="Q120" s="543">
        <v>3</v>
      </c>
      <c r="R120" s="543">
        <v>4</v>
      </c>
      <c r="S120" s="543">
        <v>1</v>
      </c>
      <c r="T120" s="543">
        <v>2</v>
      </c>
      <c r="U120" s="543">
        <v>3</v>
      </c>
      <c r="V120" s="543">
        <v>1</v>
      </c>
      <c r="W120" s="543">
        <v>2</v>
      </c>
      <c r="X120" s="543">
        <v>1</v>
      </c>
      <c r="Y120" s="543" t="s">
        <v>940</v>
      </c>
    </row>
    <row r="121" spans="3:25" x14ac:dyDescent="0.2">
      <c r="C121" s="88" t="str">
        <f>'G-1 All Habitats'!B119</f>
        <v>Intertidal sediment - Artificial littoral mud</v>
      </c>
      <c r="D121" s="543" t="s">
        <v>940</v>
      </c>
      <c r="E121" s="543" t="s">
        <v>940</v>
      </c>
      <c r="F121" s="543" t="s">
        <v>940</v>
      </c>
      <c r="G121" s="543" t="s">
        <v>940</v>
      </c>
      <c r="H121" s="543" t="s">
        <v>940</v>
      </c>
      <c r="I121" s="543" t="s">
        <v>940</v>
      </c>
      <c r="J121" s="543" t="s">
        <v>940</v>
      </c>
      <c r="K121" s="543" t="s">
        <v>940</v>
      </c>
      <c r="L121" s="543" t="s">
        <v>940</v>
      </c>
      <c r="M121" s="543" t="s">
        <v>940</v>
      </c>
      <c r="N121" s="543" t="s">
        <v>940</v>
      </c>
      <c r="O121" s="543">
        <v>2</v>
      </c>
      <c r="P121" s="543">
        <v>4</v>
      </c>
      <c r="Q121" s="543">
        <v>6</v>
      </c>
      <c r="R121" s="543">
        <v>8</v>
      </c>
      <c r="S121" s="543">
        <v>2</v>
      </c>
      <c r="T121" s="543">
        <v>4</v>
      </c>
      <c r="U121" s="543">
        <v>6</v>
      </c>
      <c r="V121" s="543">
        <v>2</v>
      </c>
      <c r="W121" s="543">
        <v>4</v>
      </c>
      <c r="X121" s="543">
        <v>2</v>
      </c>
      <c r="Y121" s="543" t="s">
        <v>940</v>
      </c>
    </row>
    <row r="122" spans="3:25" x14ac:dyDescent="0.2">
      <c r="C122" s="88" t="str">
        <f>'G-1 All Habitats'!B120</f>
        <v>Intertidal sediment - Artificial littoral sand</v>
      </c>
      <c r="D122" s="543" t="s">
        <v>940</v>
      </c>
      <c r="E122" s="543" t="s">
        <v>940</v>
      </c>
      <c r="F122" s="543" t="s">
        <v>940</v>
      </c>
      <c r="G122" s="543" t="s">
        <v>940</v>
      </c>
      <c r="H122" s="543" t="s">
        <v>940</v>
      </c>
      <c r="I122" s="543" t="s">
        <v>940</v>
      </c>
      <c r="J122" s="543" t="s">
        <v>940</v>
      </c>
      <c r="K122" s="543" t="s">
        <v>940</v>
      </c>
      <c r="L122" s="543" t="s">
        <v>940</v>
      </c>
      <c r="M122" s="543" t="s">
        <v>940</v>
      </c>
      <c r="N122" s="543" t="s">
        <v>940</v>
      </c>
      <c r="O122" s="543">
        <v>2</v>
      </c>
      <c r="P122" s="543">
        <v>3</v>
      </c>
      <c r="Q122" s="543">
        <v>4</v>
      </c>
      <c r="R122" s="543">
        <v>6</v>
      </c>
      <c r="S122" s="543">
        <v>1</v>
      </c>
      <c r="T122" s="543">
        <v>2</v>
      </c>
      <c r="U122" s="543">
        <v>4</v>
      </c>
      <c r="V122" s="543">
        <v>1</v>
      </c>
      <c r="W122" s="543">
        <v>3</v>
      </c>
      <c r="X122" s="543">
        <v>2</v>
      </c>
      <c r="Y122" s="543" t="s">
        <v>940</v>
      </c>
    </row>
    <row r="123" spans="3:25" x14ac:dyDescent="0.2">
      <c r="C123" s="88" t="str">
        <f>'G-1 All Habitats'!B121</f>
        <v>Intertidal sediment - Artificial littoral muddy sand</v>
      </c>
      <c r="D123" s="543" t="s">
        <v>940</v>
      </c>
      <c r="E123" s="543" t="s">
        <v>940</v>
      </c>
      <c r="F123" s="543" t="s">
        <v>940</v>
      </c>
      <c r="G123" s="543" t="s">
        <v>940</v>
      </c>
      <c r="H123" s="543" t="s">
        <v>940</v>
      </c>
      <c r="I123" s="543" t="s">
        <v>940</v>
      </c>
      <c r="J123" s="543" t="s">
        <v>940</v>
      </c>
      <c r="K123" s="543" t="s">
        <v>940</v>
      </c>
      <c r="L123" s="543" t="s">
        <v>940</v>
      </c>
      <c r="M123" s="543" t="s">
        <v>940</v>
      </c>
      <c r="N123" s="543" t="s">
        <v>940</v>
      </c>
      <c r="O123" s="543">
        <v>2</v>
      </c>
      <c r="P123" s="543">
        <v>4</v>
      </c>
      <c r="Q123" s="543">
        <v>6</v>
      </c>
      <c r="R123" s="543">
        <v>8</v>
      </c>
      <c r="S123" s="543">
        <v>2</v>
      </c>
      <c r="T123" s="543">
        <v>4</v>
      </c>
      <c r="U123" s="543">
        <v>6</v>
      </c>
      <c r="V123" s="543">
        <v>2</v>
      </c>
      <c r="W123" s="543">
        <v>4</v>
      </c>
      <c r="X123" s="543">
        <v>2</v>
      </c>
      <c r="Y123" s="543" t="s">
        <v>940</v>
      </c>
    </row>
    <row r="124" spans="3:25" x14ac:dyDescent="0.2">
      <c r="C124" s="88" t="str">
        <f>'G-1 All Habitats'!B122</f>
        <v>Intertidal sediment - Artificial littoral mixed sediments</v>
      </c>
      <c r="D124" s="543" t="s">
        <v>940</v>
      </c>
      <c r="E124" s="543" t="s">
        <v>940</v>
      </c>
      <c r="F124" s="543" t="s">
        <v>940</v>
      </c>
      <c r="G124" s="543" t="s">
        <v>940</v>
      </c>
      <c r="H124" s="543" t="s">
        <v>940</v>
      </c>
      <c r="I124" s="543" t="s">
        <v>940</v>
      </c>
      <c r="J124" s="543" t="s">
        <v>940</v>
      </c>
      <c r="K124" s="543" t="s">
        <v>940</v>
      </c>
      <c r="L124" s="543" t="s">
        <v>940</v>
      </c>
      <c r="M124" s="543" t="s">
        <v>940</v>
      </c>
      <c r="N124" s="543" t="s">
        <v>940</v>
      </c>
      <c r="O124" s="543">
        <v>1</v>
      </c>
      <c r="P124" s="543">
        <v>2</v>
      </c>
      <c r="Q124" s="543">
        <v>3</v>
      </c>
      <c r="R124" s="543">
        <v>4</v>
      </c>
      <c r="S124" s="543">
        <v>1</v>
      </c>
      <c r="T124" s="543">
        <v>2</v>
      </c>
      <c r="U124" s="543">
        <v>3</v>
      </c>
      <c r="V124" s="543">
        <v>1</v>
      </c>
      <c r="W124" s="543">
        <v>2</v>
      </c>
      <c r="X124" s="543">
        <v>1</v>
      </c>
      <c r="Y124" s="543" t="s">
        <v>940</v>
      </c>
    </row>
    <row r="125" spans="3:25" x14ac:dyDescent="0.2">
      <c r="C125" s="88" t="str">
        <f>'G-1 All Habitats'!B123</f>
        <v>Intertidal sediment - Artificial littoral seagrass</v>
      </c>
      <c r="D125" s="543" t="s">
        <v>940</v>
      </c>
      <c r="E125" s="543" t="s">
        <v>940</v>
      </c>
      <c r="F125" s="543" t="s">
        <v>940</v>
      </c>
      <c r="G125" s="543" t="s">
        <v>940</v>
      </c>
      <c r="H125" s="543" t="s">
        <v>940</v>
      </c>
      <c r="I125" s="543" t="s">
        <v>940</v>
      </c>
      <c r="J125" s="543" t="s">
        <v>940</v>
      </c>
      <c r="K125" s="543" t="s">
        <v>940</v>
      </c>
      <c r="L125" s="543" t="s">
        <v>940</v>
      </c>
      <c r="M125" s="543" t="s">
        <v>940</v>
      </c>
      <c r="N125" s="543" t="s">
        <v>940</v>
      </c>
      <c r="O125" s="543">
        <v>3</v>
      </c>
      <c r="P125" s="543">
        <v>13</v>
      </c>
      <c r="Q125" s="543">
        <v>23</v>
      </c>
      <c r="R125" s="543" t="s">
        <v>941</v>
      </c>
      <c r="S125" s="543">
        <v>10</v>
      </c>
      <c r="T125" s="543">
        <v>20</v>
      </c>
      <c r="U125" s="543">
        <v>30</v>
      </c>
      <c r="V125" s="543">
        <v>10</v>
      </c>
      <c r="W125" s="543">
        <v>20</v>
      </c>
      <c r="X125" s="543">
        <v>10</v>
      </c>
      <c r="Y125" s="543" t="s">
        <v>940</v>
      </c>
    </row>
    <row r="126" spans="3:25" x14ac:dyDescent="0.2">
      <c r="C126" s="88" t="str">
        <f>'G-1 All Habitats'!B124</f>
        <v>Intertidal sediment - Artificial littoral biogenic reefs</v>
      </c>
      <c r="D126" s="543" t="s">
        <v>940</v>
      </c>
      <c r="E126" s="543" t="s">
        <v>940</v>
      </c>
      <c r="F126" s="543" t="s">
        <v>940</v>
      </c>
      <c r="G126" s="543" t="s">
        <v>940</v>
      </c>
      <c r="H126" s="543" t="s">
        <v>940</v>
      </c>
      <c r="I126" s="543" t="s">
        <v>940</v>
      </c>
      <c r="J126" s="543" t="s">
        <v>940</v>
      </c>
      <c r="K126" s="543" t="s">
        <v>940</v>
      </c>
      <c r="L126" s="543" t="s">
        <v>940</v>
      </c>
      <c r="M126" s="543" t="s">
        <v>940</v>
      </c>
      <c r="N126" s="543" t="s">
        <v>940</v>
      </c>
      <c r="O126" s="543">
        <v>2</v>
      </c>
      <c r="P126" s="543">
        <v>4</v>
      </c>
      <c r="Q126" s="543">
        <v>7</v>
      </c>
      <c r="R126" s="543">
        <v>10</v>
      </c>
      <c r="S126" s="543">
        <v>2</v>
      </c>
      <c r="T126" s="543">
        <v>3</v>
      </c>
      <c r="U126" s="543">
        <v>8</v>
      </c>
      <c r="V126" s="543">
        <v>3</v>
      </c>
      <c r="W126" s="543">
        <v>6</v>
      </c>
      <c r="X126" s="543">
        <v>3</v>
      </c>
      <c r="Y126" s="543" t="s">
        <v>940</v>
      </c>
    </row>
    <row r="127" spans="3:25" x14ac:dyDescent="0.2">
      <c r="C127" s="88" t="str">
        <f>'G-1 All Habitats'!B125</f>
        <v>Intertidal sediment - Littoral sand</v>
      </c>
      <c r="D127" s="543" t="s">
        <v>940</v>
      </c>
      <c r="E127" s="543" t="s">
        <v>940</v>
      </c>
      <c r="F127" s="543" t="s">
        <v>940</v>
      </c>
      <c r="G127" s="543" t="s">
        <v>940</v>
      </c>
      <c r="H127" s="543" t="s">
        <v>940</v>
      </c>
      <c r="I127" s="543" t="s">
        <v>940</v>
      </c>
      <c r="J127" s="543" t="s">
        <v>940</v>
      </c>
      <c r="K127" s="543" t="s">
        <v>940</v>
      </c>
      <c r="L127" s="543" t="s">
        <v>940</v>
      </c>
      <c r="M127" s="543" t="s">
        <v>940</v>
      </c>
      <c r="N127" s="543" t="s">
        <v>940</v>
      </c>
      <c r="O127" s="543">
        <v>2</v>
      </c>
      <c r="P127" s="543">
        <v>3</v>
      </c>
      <c r="Q127" s="543">
        <v>4</v>
      </c>
      <c r="R127" s="543">
        <v>6</v>
      </c>
      <c r="S127" s="543">
        <v>1</v>
      </c>
      <c r="T127" s="543">
        <v>2</v>
      </c>
      <c r="U127" s="543">
        <v>4</v>
      </c>
      <c r="V127" s="543">
        <v>1</v>
      </c>
      <c r="W127" s="543">
        <v>3</v>
      </c>
      <c r="X127" s="543">
        <v>2</v>
      </c>
      <c r="Y127" s="543" t="s">
        <v>940</v>
      </c>
    </row>
    <row r="128" spans="3:25" x14ac:dyDescent="0.2">
      <c r="C128" s="88" t="str">
        <f>'G-1 All Habitats'!B126</f>
        <v>Intertidal sediment - Littoral muddy sand</v>
      </c>
      <c r="D128" s="543" t="s">
        <v>940</v>
      </c>
      <c r="E128" s="543" t="s">
        <v>940</v>
      </c>
      <c r="F128" s="543" t="s">
        <v>940</v>
      </c>
      <c r="G128" s="543" t="s">
        <v>940</v>
      </c>
      <c r="H128" s="543" t="s">
        <v>940</v>
      </c>
      <c r="I128" s="543" t="s">
        <v>940</v>
      </c>
      <c r="J128" s="543" t="s">
        <v>940</v>
      </c>
      <c r="K128" s="543" t="s">
        <v>940</v>
      </c>
      <c r="L128" s="543" t="s">
        <v>940</v>
      </c>
      <c r="M128" s="543" t="s">
        <v>940</v>
      </c>
      <c r="N128" s="543" t="s">
        <v>940</v>
      </c>
      <c r="O128" s="543">
        <v>2</v>
      </c>
      <c r="P128" s="543">
        <v>4</v>
      </c>
      <c r="Q128" s="543">
        <v>6</v>
      </c>
      <c r="R128" s="543">
        <v>8</v>
      </c>
      <c r="S128" s="543">
        <v>2</v>
      </c>
      <c r="T128" s="543">
        <v>4</v>
      </c>
      <c r="U128" s="543">
        <v>6</v>
      </c>
      <c r="V128" s="543">
        <v>2</v>
      </c>
      <c r="W128" s="543">
        <v>4</v>
      </c>
      <c r="X128" s="543">
        <v>2</v>
      </c>
      <c r="Y128" s="543" t="s">
        <v>940</v>
      </c>
    </row>
    <row r="129" spans="3:25" x14ac:dyDescent="0.2">
      <c r="C129" s="88" t="str">
        <f>'G-1 All Habitats'!B127</f>
        <v>Intertidal Hard Structures - Artificial hard structures</v>
      </c>
      <c r="D129" s="543" t="s">
        <v>940</v>
      </c>
      <c r="E129" s="543" t="s">
        <v>940</v>
      </c>
      <c r="F129" s="543" t="s">
        <v>940</v>
      </c>
      <c r="G129" s="543" t="s">
        <v>940</v>
      </c>
      <c r="H129" s="543" t="s">
        <v>940</v>
      </c>
      <c r="I129" s="543" t="s">
        <v>940</v>
      </c>
      <c r="J129" s="543" t="s">
        <v>940</v>
      </c>
      <c r="K129" s="543" t="s">
        <v>940</v>
      </c>
      <c r="L129" s="543" t="s">
        <v>940</v>
      </c>
      <c r="M129" s="543" t="s">
        <v>940</v>
      </c>
      <c r="N129" s="543" t="s">
        <v>940</v>
      </c>
      <c r="O129" s="543">
        <v>6</v>
      </c>
      <c r="P129" s="543">
        <v>4</v>
      </c>
      <c r="Q129" s="543">
        <v>10</v>
      </c>
      <c r="R129" s="543">
        <v>2</v>
      </c>
      <c r="S129" s="543">
        <v>2</v>
      </c>
      <c r="T129" s="543">
        <v>8</v>
      </c>
      <c r="U129" s="543">
        <v>6</v>
      </c>
      <c r="V129" s="543">
        <v>2</v>
      </c>
      <c r="W129" s="543">
        <v>12</v>
      </c>
      <c r="X129" s="543">
        <v>4</v>
      </c>
      <c r="Y129" s="543" t="s">
        <v>940</v>
      </c>
    </row>
    <row r="130" spans="3:25" x14ac:dyDescent="0.2">
      <c r="C130" s="88" t="str">
        <f>'G-1 All Habitats'!B128</f>
        <v>Intertidal Hard Structures - Artificial features of hard structures</v>
      </c>
      <c r="D130" s="543" t="s">
        <v>940</v>
      </c>
      <c r="E130" s="543" t="s">
        <v>940</v>
      </c>
      <c r="F130" s="543" t="s">
        <v>940</v>
      </c>
      <c r="G130" s="543" t="s">
        <v>940</v>
      </c>
      <c r="H130" s="543" t="s">
        <v>940</v>
      </c>
      <c r="I130" s="543" t="s">
        <v>940</v>
      </c>
      <c r="J130" s="543" t="s">
        <v>940</v>
      </c>
      <c r="K130" s="543" t="s">
        <v>940</v>
      </c>
      <c r="L130" s="543" t="s">
        <v>940</v>
      </c>
      <c r="M130" s="543" t="s">
        <v>940</v>
      </c>
      <c r="N130" s="543" t="s">
        <v>940</v>
      </c>
      <c r="O130" s="543">
        <v>5</v>
      </c>
      <c r="P130" s="543">
        <v>4</v>
      </c>
      <c r="Q130" s="543">
        <v>9</v>
      </c>
      <c r="R130" s="543">
        <v>2</v>
      </c>
      <c r="S130" s="543">
        <v>2</v>
      </c>
      <c r="T130" s="543">
        <v>7</v>
      </c>
      <c r="U130" s="543">
        <v>6</v>
      </c>
      <c r="V130" s="543">
        <v>2</v>
      </c>
      <c r="W130" s="543">
        <v>11</v>
      </c>
      <c r="X130" s="543">
        <v>4</v>
      </c>
      <c r="Y130" s="543" t="s">
        <v>940</v>
      </c>
    </row>
    <row r="131" spans="3:25" x14ac:dyDescent="0.2">
      <c r="C131" s="88" t="str">
        <f>'G-1 All Habitats'!B129</f>
        <v>Intertidal Hard Structures - Artificial hard structures with Integrated Greening of Grey Infrastructure (IGGI)</v>
      </c>
      <c r="D131" s="543" t="s">
        <v>940</v>
      </c>
      <c r="E131" s="543" t="s">
        <v>940</v>
      </c>
      <c r="F131" s="543" t="s">
        <v>940</v>
      </c>
      <c r="G131" s="543" t="s">
        <v>940</v>
      </c>
      <c r="H131" s="543" t="s">
        <v>940</v>
      </c>
      <c r="I131" s="543" t="s">
        <v>940</v>
      </c>
      <c r="J131" s="543" t="s">
        <v>940</v>
      </c>
      <c r="K131" s="543" t="s">
        <v>940</v>
      </c>
      <c r="L131" s="543" t="s">
        <v>940</v>
      </c>
      <c r="M131" s="543" t="s">
        <v>940</v>
      </c>
      <c r="N131" s="543" t="s">
        <v>940</v>
      </c>
      <c r="O131" s="543">
        <v>5</v>
      </c>
      <c r="P131" s="543">
        <v>4</v>
      </c>
      <c r="Q131" s="543">
        <v>9</v>
      </c>
      <c r="R131" s="543">
        <v>2</v>
      </c>
      <c r="S131" s="543">
        <v>2</v>
      </c>
      <c r="T131" s="543">
        <v>7</v>
      </c>
      <c r="U131" s="543">
        <v>6</v>
      </c>
      <c r="V131" s="543">
        <v>2</v>
      </c>
      <c r="W131" s="543">
        <v>11</v>
      </c>
      <c r="X131" s="543">
        <v>4</v>
      </c>
      <c r="Y131" s="543" t="s">
        <v>940</v>
      </c>
    </row>
    <row r="132" spans="3:25" x14ac:dyDescent="0.2">
      <c r="C132" s="42"/>
    </row>
    <row r="133" spans="3:25" x14ac:dyDescent="0.2">
      <c r="C133" s="42"/>
    </row>
    <row r="144" spans="3:2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25" zeroHeight="1" x14ac:dyDescent="0.2"/>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x14ac:dyDescent="0.35">
      <c r="A1" s="1052"/>
      <c r="B1" s="1055"/>
      <c r="C1" s="1059" t="s">
        <v>195</v>
      </c>
      <c r="D1" s="1060"/>
      <c r="E1" s="1056" t="s">
        <v>968</v>
      </c>
      <c r="F1" s="1057"/>
      <c r="G1" s="1057"/>
      <c r="H1" s="1057"/>
      <c r="I1" s="1058"/>
      <c r="J1" s="1056" t="s">
        <v>969</v>
      </c>
      <c r="K1" s="1057"/>
      <c r="L1" s="1057"/>
      <c r="M1" s="1057"/>
      <c r="N1" s="1057"/>
      <c r="O1" s="1057"/>
      <c r="P1" s="1057"/>
      <c r="Q1" s="1057"/>
      <c r="R1" s="1058"/>
      <c r="S1" s="1056" t="s">
        <v>970</v>
      </c>
      <c r="T1" s="1057"/>
      <c r="U1" s="1057"/>
      <c r="V1" s="1057"/>
      <c r="W1" s="1057"/>
      <c r="X1" s="1057"/>
      <c r="Y1" s="1057"/>
      <c r="Z1" s="1057"/>
      <c r="AA1" s="1057"/>
      <c r="AB1" s="1057"/>
      <c r="AC1" s="1057"/>
      <c r="AD1" s="1057"/>
      <c r="AE1" s="1058"/>
      <c r="AF1" s="1059" t="s">
        <v>316</v>
      </c>
      <c r="AG1" s="1060"/>
      <c r="AH1" s="969" t="s">
        <v>971</v>
      </c>
      <c r="AJ1" s="1059" t="s">
        <v>972</v>
      </c>
      <c r="AK1" s="1060"/>
      <c r="AM1" s="174" t="s">
        <v>973</v>
      </c>
      <c r="AN1" s="1063" t="s">
        <v>974</v>
      </c>
      <c r="AO1" s="1063"/>
      <c r="AP1" s="1063"/>
      <c r="AQ1" s="1063"/>
      <c r="AR1" s="1063"/>
      <c r="AS1" s="1063"/>
      <c r="AT1" s="1063"/>
      <c r="AU1" s="1063"/>
      <c r="AV1" s="1063"/>
      <c r="AW1" s="1063"/>
      <c r="AX1" s="1063"/>
      <c r="AY1" s="1063"/>
      <c r="AZ1" s="1063"/>
      <c r="BK1" s="1061" t="s">
        <v>975</v>
      </c>
      <c r="BL1" s="1062"/>
    </row>
    <row r="2" spans="1:64" ht="182.25" customHeight="1" thickBot="1" x14ac:dyDescent="0.25">
      <c r="B2" s="176" t="s">
        <v>828</v>
      </c>
      <c r="C2" s="173" t="s">
        <v>382</v>
      </c>
      <c r="D2" s="177" t="s">
        <v>383</v>
      </c>
      <c r="E2" s="173" t="s">
        <v>233</v>
      </c>
      <c r="F2" s="178"/>
      <c r="G2" s="178" t="s">
        <v>26</v>
      </c>
      <c r="H2" s="178"/>
      <c r="I2" s="177" t="s">
        <v>27</v>
      </c>
      <c r="J2" s="173"/>
      <c r="K2" s="178" t="s">
        <v>958</v>
      </c>
      <c r="L2" s="178"/>
      <c r="M2" s="178" t="s">
        <v>960</v>
      </c>
      <c r="N2" s="178"/>
      <c r="O2" s="178"/>
      <c r="P2" s="178"/>
      <c r="Q2" s="177" t="s">
        <v>965</v>
      </c>
      <c r="R2" s="179"/>
      <c r="S2" s="180" t="s">
        <v>113</v>
      </c>
      <c r="T2" s="181" t="s">
        <v>114</v>
      </c>
      <c r="U2" s="181" t="s">
        <v>976</v>
      </c>
      <c r="V2" s="181" t="s">
        <v>977</v>
      </c>
      <c r="W2" s="181" t="s">
        <v>117</v>
      </c>
      <c r="X2" s="181" t="s">
        <v>978</v>
      </c>
      <c r="Y2" s="181" t="s">
        <v>119</v>
      </c>
      <c r="Z2" s="181" t="s">
        <v>979</v>
      </c>
      <c r="AA2" s="181" t="s">
        <v>980</v>
      </c>
      <c r="AB2" s="181" t="s">
        <v>122</v>
      </c>
      <c r="AC2" s="181" t="s">
        <v>123</v>
      </c>
      <c r="AD2" s="181" t="s">
        <v>981</v>
      </c>
      <c r="AE2" s="181" t="s">
        <v>125</v>
      </c>
      <c r="AF2" s="173" t="s">
        <v>385</v>
      </c>
      <c r="AG2" s="177" t="s">
        <v>386</v>
      </c>
      <c r="AH2" s="996"/>
      <c r="AJ2" s="173" t="s">
        <v>982</v>
      </c>
      <c r="AK2" s="177" t="s">
        <v>983</v>
      </c>
      <c r="AM2" s="182" t="s">
        <v>984</v>
      </c>
      <c r="AN2" s="165" t="s">
        <v>113</v>
      </c>
      <c r="AO2" s="165" t="s">
        <v>114</v>
      </c>
      <c r="AP2" s="165" t="s">
        <v>115</v>
      </c>
      <c r="AQ2" s="165" t="s">
        <v>977</v>
      </c>
      <c r="AR2" s="165" t="s">
        <v>117</v>
      </c>
      <c r="AS2" s="165" t="s">
        <v>978</v>
      </c>
      <c r="AT2" s="165" t="s">
        <v>119</v>
      </c>
      <c r="AU2" s="165" t="s">
        <v>979</v>
      </c>
      <c r="AV2" s="165" t="s">
        <v>980</v>
      </c>
      <c r="AW2" s="165" t="s">
        <v>122</v>
      </c>
      <c r="AX2" s="165" t="s">
        <v>123</v>
      </c>
      <c r="AY2" s="165" t="s">
        <v>124</v>
      </c>
      <c r="AZ2" s="165" t="s">
        <v>125</v>
      </c>
      <c r="BK2" s="89" t="s">
        <v>985</v>
      </c>
      <c r="BL2" s="89" t="s">
        <v>986</v>
      </c>
    </row>
    <row r="3" spans="1:64" ht="30.75" customHeight="1" thickBot="1" x14ac:dyDescent="0.25">
      <c r="A3" s="183"/>
      <c r="B3" s="637" t="s">
        <v>113</v>
      </c>
      <c r="C3" s="595" t="s">
        <v>401</v>
      </c>
      <c r="D3" s="596">
        <v>8</v>
      </c>
      <c r="E3" s="597">
        <v>1</v>
      </c>
      <c r="F3" s="598"/>
      <c r="G3" s="598">
        <v>10</v>
      </c>
      <c r="H3" s="598"/>
      <c r="I3" s="596">
        <v>20</v>
      </c>
      <c r="J3" s="597"/>
      <c r="K3" s="598">
        <v>6</v>
      </c>
      <c r="L3" s="598"/>
      <c r="M3" s="598">
        <v>10</v>
      </c>
      <c r="N3" s="598"/>
      <c r="O3" s="598"/>
      <c r="P3" s="598"/>
      <c r="Q3" s="596">
        <v>4</v>
      </c>
      <c r="R3" s="599"/>
      <c r="S3" s="600" t="s">
        <v>987</v>
      </c>
      <c r="T3" s="601" t="s">
        <v>987</v>
      </c>
      <c r="U3" s="601" t="s">
        <v>987</v>
      </c>
      <c r="V3" s="601" t="s">
        <v>987</v>
      </c>
      <c r="W3" s="601" t="s">
        <v>987</v>
      </c>
      <c r="X3" s="601" t="s">
        <v>987</v>
      </c>
      <c r="Y3" s="601" t="s">
        <v>987</v>
      </c>
      <c r="Z3" s="601" t="s">
        <v>987</v>
      </c>
      <c r="AA3" s="601" t="s">
        <v>987</v>
      </c>
      <c r="AB3" s="601" t="s">
        <v>987</v>
      </c>
      <c r="AC3" s="601" t="s">
        <v>987</v>
      </c>
      <c r="AD3" s="601" t="s">
        <v>987</v>
      </c>
      <c r="AE3" s="602" t="s">
        <v>987</v>
      </c>
      <c r="AF3" s="603" t="s">
        <v>162</v>
      </c>
      <c r="AG3" s="604" t="s">
        <v>162</v>
      </c>
      <c r="AH3" s="605" t="s">
        <v>988</v>
      </c>
      <c r="AJ3" s="185" t="s">
        <v>27</v>
      </c>
      <c r="AK3" s="613">
        <v>3</v>
      </c>
      <c r="AM3" s="184" t="s">
        <v>113</v>
      </c>
      <c r="AN3" s="601" t="s">
        <v>989</v>
      </c>
      <c r="AO3" s="616" t="s">
        <v>990</v>
      </c>
      <c r="AP3" s="601" t="s">
        <v>990</v>
      </c>
      <c r="AQ3" s="601" t="s">
        <v>990</v>
      </c>
      <c r="AR3" s="601" t="s">
        <v>990</v>
      </c>
      <c r="AS3" s="601" t="s">
        <v>990</v>
      </c>
      <c r="AT3" s="601" t="s">
        <v>990</v>
      </c>
      <c r="AU3" s="601" t="s">
        <v>990</v>
      </c>
      <c r="AV3" s="601" t="s">
        <v>990</v>
      </c>
      <c r="AW3" s="601" t="s">
        <v>990</v>
      </c>
      <c r="AX3" s="601" t="s">
        <v>990</v>
      </c>
      <c r="AY3" s="601" t="s">
        <v>990</v>
      </c>
      <c r="AZ3" s="601" t="s">
        <v>990</v>
      </c>
      <c r="BJ3" s="175" t="s">
        <v>985</v>
      </c>
      <c r="BK3" s="186" t="s">
        <v>27</v>
      </c>
      <c r="BL3" s="186" t="s">
        <v>233</v>
      </c>
    </row>
    <row r="4" spans="1:64" ht="30.75" customHeight="1" thickBot="1" x14ac:dyDescent="0.25">
      <c r="A4" s="183"/>
      <c r="B4" s="638" t="s">
        <v>114</v>
      </c>
      <c r="C4" s="536" t="s">
        <v>159</v>
      </c>
      <c r="D4" s="604">
        <v>6</v>
      </c>
      <c r="E4" s="603">
        <v>1</v>
      </c>
      <c r="F4" s="543"/>
      <c r="G4" s="543">
        <v>10</v>
      </c>
      <c r="H4" s="543"/>
      <c r="I4" s="604">
        <v>20</v>
      </c>
      <c r="J4" s="603"/>
      <c r="K4" s="543">
        <v>6</v>
      </c>
      <c r="L4" s="543"/>
      <c r="M4" s="543">
        <v>10</v>
      </c>
      <c r="N4" s="543"/>
      <c r="O4" s="543"/>
      <c r="P4" s="543"/>
      <c r="Q4" s="604">
        <v>4</v>
      </c>
      <c r="R4" s="606"/>
      <c r="S4" s="603">
        <v>5</v>
      </c>
      <c r="T4" s="601" t="s">
        <v>987</v>
      </c>
      <c r="U4" s="601" t="s">
        <v>987</v>
      </c>
      <c r="V4" s="601" t="s">
        <v>987</v>
      </c>
      <c r="W4" s="601" t="s">
        <v>987</v>
      </c>
      <c r="X4" s="601" t="s">
        <v>987</v>
      </c>
      <c r="Y4" s="601" t="s">
        <v>987</v>
      </c>
      <c r="Z4" s="601" t="s">
        <v>987</v>
      </c>
      <c r="AA4" s="601" t="s">
        <v>987</v>
      </c>
      <c r="AB4" s="601" t="s">
        <v>987</v>
      </c>
      <c r="AC4" s="601" t="s">
        <v>987</v>
      </c>
      <c r="AD4" s="601" t="s">
        <v>987</v>
      </c>
      <c r="AE4" s="602" t="s">
        <v>987</v>
      </c>
      <c r="AF4" s="603" t="s">
        <v>162</v>
      </c>
      <c r="AG4" s="604" t="s">
        <v>162</v>
      </c>
      <c r="AH4" s="607" t="s">
        <v>991</v>
      </c>
      <c r="AJ4" s="87" t="s">
        <v>26</v>
      </c>
      <c r="AK4" s="614">
        <v>2</v>
      </c>
      <c r="AM4" s="184" t="s">
        <v>114</v>
      </c>
      <c r="AN4" s="601" t="s">
        <v>992</v>
      </c>
      <c r="AO4" s="616" t="s">
        <v>993</v>
      </c>
      <c r="AP4" s="601" t="s">
        <v>993</v>
      </c>
      <c r="AQ4" s="601" t="s">
        <v>993</v>
      </c>
      <c r="AR4" s="601" t="s">
        <v>990</v>
      </c>
      <c r="AS4" s="601" t="s">
        <v>990</v>
      </c>
      <c r="AT4" s="601" t="s">
        <v>990</v>
      </c>
      <c r="AU4" s="601" t="s">
        <v>990</v>
      </c>
      <c r="AV4" s="601" t="s">
        <v>990</v>
      </c>
      <c r="AW4" s="601" t="s">
        <v>990</v>
      </c>
      <c r="AX4" s="601" t="s">
        <v>990</v>
      </c>
      <c r="AY4" s="601" t="s">
        <v>990</v>
      </c>
      <c r="AZ4" s="601" t="s">
        <v>990</v>
      </c>
      <c r="BJ4" s="175" t="s">
        <v>985</v>
      </c>
      <c r="BK4" s="186" t="s">
        <v>26</v>
      </c>
    </row>
    <row r="5" spans="1:64" ht="30.75" customHeight="1" thickBot="1" x14ac:dyDescent="0.25">
      <c r="A5" s="183"/>
      <c r="B5" s="638" t="s">
        <v>115</v>
      </c>
      <c r="C5" s="536" t="s">
        <v>159</v>
      </c>
      <c r="D5" s="604">
        <v>6</v>
      </c>
      <c r="E5" s="603">
        <v>1</v>
      </c>
      <c r="F5" s="543"/>
      <c r="G5" s="543">
        <v>5</v>
      </c>
      <c r="H5" s="543"/>
      <c r="I5" s="604">
        <v>12</v>
      </c>
      <c r="J5" s="603"/>
      <c r="K5" s="543">
        <v>3</v>
      </c>
      <c r="L5" s="543"/>
      <c r="M5" s="543">
        <v>5</v>
      </c>
      <c r="N5" s="543"/>
      <c r="O5" s="543"/>
      <c r="P5" s="543"/>
      <c r="Q5" s="604">
        <v>2</v>
      </c>
      <c r="R5" s="606"/>
      <c r="S5" s="603">
        <v>10</v>
      </c>
      <c r="T5" s="601" t="s">
        <v>987</v>
      </c>
      <c r="U5" s="601" t="s">
        <v>987</v>
      </c>
      <c r="V5" s="601" t="s">
        <v>987</v>
      </c>
      <c r="W5" s="601" t="s">
        <v>987</v>
      </c>
      <c r="X5" s="601" t="s">
        <v>987</v>
      </c>
      <c r="Y5" s="601" t="s">
        <v>987</v>
      </c>
      <c r="Z5" s="601" t="s">
        <v>987</v>
      </c>
      <c r="AA5" s="601" t="s">
        <v>987</v>
      </c>
      <c r="AB5" s="601" t="s">
        <v>987</v>
      </c>
      <c r="AC5" s="601" t="s">
        <v>987</v>
      </c>
      <c r="AD5" s="601" t="s">
        <v>987</v>
      </c>
      <c r="AE5" s="602" t="s">
        <v>987</v>
      </c>
      <c r="AF5" s="603" t="s">
        <v>162</v>
      </c>
      <c r="AG5" s="604" t="s">
        <v>162</v>
      </c>
      <c r="AH5" s="607" t="s">
        <v>991</v>
      </c>
      <c r="AJ5" s="89" t="s">
        <v>233</v>
      </c>
      <c r="AK5" s="615">
        <v>1</v>
      </c>
      <c r="AM5" s="184" t="s">
        <v>115</v>
      </c>
      <c r="AN5" s="601" t="s">
        <v>992</v>
      </c>
      <c r="AO5" s="616" t="s">
        <v>993</v>
      </c>
      <c r="AP5" s="601" t="s">
        <v>993</v>
      </c>
      <c r="AQ5" s="601" t="s">
        <v>993</v>
      </c>
      <c r="AR5" s="601" t="s">
        <v>990</v>
      </c>
      <c r="AS5" s="601" t="s">
        <v>990</v>
      </c>
      <c r="AT5" s="601" t="s">
        <v>990</v>
      </c>
      <c r="AU5" s="601" t="s">
        <v>990</v>
      </c>
      <c r="AV5" s="601" t="s">
        <v>990</v>
      </c>
      <c r="AW5" s="601" t="s">
        <v>990</v>
      </c>
      <c r="AX5" s="601" t="s">
        <v>990</v>
      </c>
      <c r="AY5" s="601" t="s">
        <v>990</v>
      </c>
      <c r="AZ5" s="601" t="s">
        <v>990</v>
      </c>
      <c r="BJ5" s="175" t="s">
        <v>985</v>
      </c>
      <c r="BK5" s="186" t="s">
        <v>233</v>
      </c>
    </row>
    <row r="6" spans="1:64" ht="30.75" customHeight="1" thickBot="1" x14ac:dyDescent="0.25">
      <c r="A6" s="183"/>
      <c r="B6" s="638" t="s">
        <v>116</v>
      </c>
      <c r="C6" s="536" t="s">
        <v>159</v>
      </c>
      <c r="D6" s="604">
        <v>6</v>
      </c>
      <c r="E6" s="603">
        <v>1</v>
      </c>
      <c r="F6" s="543"/>
      <c r="G6" s="543">
        <v>10</v>
      </c>
      <c r="H6" s="543"/>
      <c r="I6" s="604">
        <v>20</v>
      </c>
      <c r="J6" s="603"/>
      <c r="K6" s="543">
        <v>6</v>
      </c>
      <c r="L6" s="543"/>
      <c r="M6" s="543">
        <v>10</v>
      </c>
      <c r="N6" s="543"/>
      <c r="O6" s="543"/>
      <c r="P6" s="543"/>
      <c r="Q6" s="604">
        <v>4</v>
      </c>
      <c r="R6" s="606"/>
      <c r="S6" s="603">
        <v>5</v>
      </c>
      <c r="T6" s="601" t="s">
        <v>987</v>
      </c>
      <c r="U6" s="601" t="s">
        <v>987</v>
      </c>
      <c r="V6" s="601" t="s">
        <v>987</v>
      </c>
      <c r="W6" s="601" t="s">
        <v>987</v>
      </c>
      <c r="X6" s="601" t="s">
        <v>987</v>
      </c>
      <c r="Y6" s="601" t="s">
        <v>987</v>
      </c>
      <c r="Z6" s="601" t="s">
        <v>987</v>
      </c>
      <c r="AA6" s="601" t="s">
        <v>987</v>
      </c>
      <c r="AB6" s="601" t="s">
        <v>987</v>
      </c>
      <c r="AC6" s="601" t="s">
        <v>987</v>
      </c>
      <c r="AD6" s="601" t="s">
        <v>987</v>
      </c>
      <c r="AE6" s="602" t="s">
        <v>987</v>
      </c>
      <c r="AF6" s="603" t="s">
        <v>162</v>
      </c>
      <c r="AG6" s="604" t="s">
        <v>162</v>
      </c>
      <c r="AH6" s="607" t="s">
        <v>991</v>
      </c>
      <c r="AM6" s="184" t="s">
        <v>116</v>
      </c>
      <c r="AN6" s="616" t="s">
        <v>992</v>
      </c>
      <c r="AO6" s="616" t="s">
        <v>993</v>
      </c>
      <c r="AP6" s="616" t="s">
        <v>993</v>
      </c>
      <c r="AQ6" s="616" t="s">
        <v>993</v>
      </c>
      <c r="AR6" s="616" t="s">
        <v>990</v>
      </c>
      <c r="AS6" s="616" t="s">
        <v>990</v>
      </c>
      <c r="AT6" s="616" t="s">
        <v>990</v>
      </c>
      <c r="AU6" s="616" t="s">
        <v>990</v>
      </c>
      <c r="AV6" s="616" t="s">
        <v>990</v>
      </c>
      <c r="AW6" s="616" t="s">
        <v>990</v>
      </c>
      <c r="AX6" s="616" t="s">
        <v>990</v>
      </c>
      <c r="AY6" s="616" t="s">
        <v>990</v>
      </c>
      <c r="AZ6" s="616" t="s">
        <v>990</v>
      </c>
      <c r="BJ6" s="175" t="s">
        <v>985</v>
      </c>
    </row>
    <row r="7" spans="1:64" ht="43.5" thickBot="1" x14ac:dyDescent="0.25">
      <c r="A7" s="183"/>
      <c r="B7" s="638" t="s">
        <v>117</v>
      </c>
      <c r="C7" s="536" t="s">
        <v>29</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987</v>
      </c>
      <c r="X7" s="601" t="s">
        <v>987</v>
      </c>
      <c r="Y7" s="601" t="s">
        <v>987</v>
      </c>
      <c r="Z7" s="601" t="s">
        <v>987</v>
      </c>
      <c r="AA7" s="601" t="s">
        <v>987</v>
      </c>
      <c r="AB7" s="601" t="s">
        <v>987</v>
      </c>
      <c r="AC7" s="601" t="s">
        <v>987</v>
      </c>
      <c r="AD7" s="601" t="s">
        <v>987</v>
      </c>
      <c r="AE7" s="602" t="s">
        <v>987</v>
      </c>
      <c r="AF7" s="603" t="s">
        <v>162</v>
      </c>
      <c r="AG7" s="604" t="s">
        <v>162</v>
      </c>
      <c r="AH7" s="607" t="s">
        <v>991</v>
      </c>
      <c r="AM7" s="184" t="s">
        <v>117</v>
      </c>
      <c r="AN7" s="616" t="s">
        <v>994</v>
      </c>
      <c r="AO7" s="519" t="s">
        <v>995</v>
      </c>
      <c r="AP7" s="519" t="s">
        <v>995</v>
      </c>
      <c r="AQ7" s="519" t="s">
        <v>995</v>
      </c>
      <c r="AR7" s="519" t="s">
        <v>996</v>
      </c>
      <c r="AS7" s="519" t="s">
        <v>996</v>
      </c>
      <c r="AT7" s="519" t="s">
        <v>996</v>
      </c>
      <c r="AU7" s="519" t="s">
        <v>997</v>
      </c>
      <c r="AV7" s="519" t="s">
        <v>997</v>
      </c>
      <c r="AW7" s="616" t="s">
        <v>990</v>
      </c>
      <c r="AX7" s="616" t="s">
        <v>990</v>
      </c>
      <c r="AY7" s="616" t="s">
        <v>990</v>
      </c>
      <c r="AZ7" s="616" t="s">
        <v>990</v>
      </c>
      <c r="BJ7" s="175" t="s">
        <v>985</v>
      </c>
    </row>
    <row r="8" spans="1:64" ht="43.5" thickBot="1" x14ac:dyDescent="0.25">
      <c r="A8" s="183"/>
      <c r="B8" s="638" t="s">
        <v>118</v>
      </c>
      <c r="C8" s="536" t="s">
        <v>29</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987</v>
      </c>
      <c r="X8" s="601" t="s">
        <v>987</v>
      </c>
      <c r="Y8" s="601" t="s">
        <v>987</v>
      </c>
      <c r="Z8" s="601" t="s">
        <v>987</v>
      </c>
      <c r="AA8" s="601" t="s">
        <v>987</v>
      </c>
      <c r="AB8" s="601" t="s">
        <v>987</v>
      </c>
      <c r="AC8" s="601" t="s">
        <v>987</v>
      </c>
      <c r="AD8" s="601" t="s">
        <v>987</v>
      </c>
      <c r="AE8" s="602" t="s">
        <v>987</v>
      </c>
      <c r="AF8" s="603" t="s">
        <v>162</v>
      </c>
      <c r="AG8" s="604" t="s">
        <v>162</v>
      </c>
      <c r="AH8" s="607" t="s">
        <v>991</v>
      </c>
      <c r="AM8" s="184" t="s">
        <v>118</v>
      </c>
      <c r="AN8" s="616" t="s">
        <v>994</v>
      </c>
      <c r="AO8" s="519" t="s">
        <v>995</v>
      </c>
      <c r="AP8" s="519" t="s">
        <v>995</v>
      </c>
      <c r="AQ8" s="519" t="s">
        <v>995</v>
      </c>
      <c r="AR8" s="519" t="s">
        <v>996</v>
      </c>
      <c r="AS8" s="519" t="s">
        <v>996</v>
      </c>
      <c r="AT8" s="519" t="s">
        <v>996</v>
      </c>
      <c r="AU8" s="519" t="s">
        <v>997</v>
      </c>
      <c r="AV8" s="519" t="s">
        <v>997</v>
      </c>
      <c r="AW8" s="616" t="s">
        <v>990</v>
      </c>
      <c r="AX8" s="616" t="s">
        <v>990</v>
      </c>
      <c r="AY8" s="616" t="s">
        <v>990</v>
      </c>
      <c r="AZ8" s="616" t="s">
        <v>990</v>
      </c>
      <c r="BJ8" s="175" t="s">
        <v>985</v>
      </c>
    </row>
    <row r="9" spans="1:64" ht="29.25" thickBot="1" x14ac:dyDescent="0.25">
      <c r="B9" s="638" t="s">
        <v>119</v>
      </c>
      <c r="C9" s="536" t="s">
        <v>29</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987</v>
      </c>
      <c r="X9" s="601" t="s">
        <v>987</v>
      </c>
      <c r="Y9" s="601" t="s">
        <v>987</v>
      </c>
      <c r="Z9" s="601" t="s">
        <v>987</v>
      </c>
      <c r="AA9" s="601" t="s">
        <v>987</v>
      </c>
      <c r="AB9" s="601" t="s">
        <v>987</v>
      </c>
      <c r="AC9" s="601" t="s">
        <v>987</v>
      </c>
      <c r="AD9" s="601" t="s">
        <v>987</v>
      </c>
      <c r="AE9" s="602" t="s">
        <v>987</v>
      </c>
      <c r="AF9" s="603" t="s">
        <v>162</v>
      </c>
      <c r="AG9" s="604" t="s">
        <v>162</v>
      </c>
      <c r="AH9" s="607" t="s">
        <v>991</v>
      </c>
      <c r="AM9" s="184" t="s">
        <v>119</v>
      </c>
      <c r="AN9" s="616" t="s">
        <v>994</v>
      </c>
      <c r="AO9" s="519" t="s">
        <v>995</v>
      </c>
      <c r="AP9" s="519" t="s">
        <v>995</v>
      </c>
      <c r="AQ9" s="519" t="s">
        <v>995</v>
      </c>
      <c r="AR9" s="519" t="s">
        <v>996</v>
      </c>
      <c r="AS9" s="519" t="s">
        <v>996</v>
      </c>
      <c r="AT9" s="519" t="s">
        <v>996</v>
      </c>
      <c r="AU9" s="519" t="s">
        <v>996</v>
      </c>
      <c r="AV9" s="519" t="s">
        <v>996</v>
      </c>
      <c r="AW9" s="616" t="s">
        <v>990</v>
      </c>
      <c r="AX9" s="616" t="s">
        <v>990</v>
      </c>
      <c r="AY9" s="616" t="s">
        <v>990</v>
      </c>
      <c r="AZ9" s="616" t="s">
        <v>990</v>
      </c>
      <c r="BJ9" s="175" t="s">
        <v>985</v>
      </c>
    </row>
    <row r="10" spans="1:64" ht="43.5" thickBot="1" x14ac:dyDescent="0.25">
      <c r="B10" s="638" t="s">
        <v>120</v>
      </c>
      <c r="C10" s="536" t="s">
        <v>29</v>
      </c>
      <c r="D10" s="604">
        <v>4</v>
      </c>
      <c r="E10" s="603">
        <v>5</v>
      </c>
      <c r="F10" s="543"/>
      <c r="G10" s="543">
        <v>20</v>
      </c>
      <c r="H10" s="543"/>
      <c r="I10" s="604" t="s">
        <v>941</v>
      </c>
      <c r="J10" s="603"/>
      <c r="K10" s="543">
        <v>20</v>
      </c>
      <c r="L10" s="543"/>
      <c r="M10" s="543">
        <v>30</v>
      </c>
      <c r="N10" s="543"/>
      <c r="O10" s="543"/>
      <c r="P10" s="543"/>
      <c r="Q10" s="604">
        <v>10</v>
      </c>
      <c r="R10" s="606"/>
      <c r="S10" s="603">
        <v>12</v>
      </c>
      <c r="T10" s="543">
        <v>12</v>
      </c>
      <c r="U10" s="601" t="s">
        <v>987</v>
      </c>
      <c r="V10" s="543">
        <v>12</v>
      </c>
      <c r="W10" s="601" t="s">
        <v>987</v>
      </c>
      <c r="X10" s="601" t="s">
        <v>987</v>
      </c>
      <c r="Y10" s="601" t="s">
        <v>987</v>
      </c>
      <c r="Z10" s="601" t="s">
        <v>987</v>
      </c>
      <c r="AA10" s="601" t="s">
        <v>987</v>
      </c>
      <c r="AB10" s="601" t="s">
        <v>987</v>
      </c>
      <c r="AC10" s="601" t="s">
        <v>987</v>
      </c>
      <c r="AD10" s="601" t="s">
        <v>987</v>
      </c>
      <c r="AE10" s="602" t="s">
        <v>987</v>
      </c>
      <c r="AF10" s="603" t="s">
        <v>162</v>
      </c>
      <c r="AG10" s="604" t="s">
        <v>162</v>
      </c>
      <c r="AH10" s="607" t="s">
        <v>991</v>
      </c>
      <c r="AM10" s="184" t="s">
        <v>979</v>
      </c>
      <c r="AN10" s="616" t="s">
        <v>994</v>
      </c>
      <c r="AO10" s="519" t="s">
        <v>995</v>
      </c>
      <c r="AP10" s="519" t="s">
        <v>997</v>
      </c>
      <c r="AQ10" s="519" t="s">
        <v>995</v>
      </c>
      <c r="AR10" s="519" t="s">
        <v>997</v>
      </c>
      <c r="AS10" s="519" t="s">
        <v>997</v>
      </c>
      <c r="AT10" s="519" t="s">
        <v>996</v>
      </c>
      <c r="AU10" s="519" t="s">
        <v>996</v>
      </c>
      <c r="AV10" s="519" t="s">
        <v>996</v>
      </c>
      <c r="AW10" s="616" t="s">
        <v>990</v>
      </c>
      <c r="AX10" s="616" t="s">
        <v>990</v>
      </c>
      <c r="AY10" s="616" t="s">
        <v>990</v>
      </c>
      <c r="AZ10" s="616" t="s">
        <v>990</v>
      </c>
      <c r="BJ10" s="175" t="s">
        <v>985</v>
      </c>
    </row>
    <row r="11" spans="1:64" ht="43.5" thickBot="1" x14ac:dyDescent="0.25">
      <c r="B11" s="638" t="s">
        <v>121</v>
      </c>
      <c r="C11" s="536" t="s">
        <v>29</v>
      </c>
      <c r="D11" s="604">
        <v>4</v>
      </c>
      <c r="E11" s="603">
        <v>5</v>
      </c>
      <c r="F11" s="543"/>
      <c r="G11" s="543">
        <v>20</v>
      </c>
      <c r="H11" s="543"/>
      <c r="I11" s="604" t="s">
        <v>941</v>
      </c>
      <c r="J11" s="603"/>
      <c r="K11" s="543">
        <v>20</v>
      </c>
      <c r="L11" s="543"/>
      <c r="M11" s="543">
        <v>30</v>
      </c>
      <c r="N11" s="543"/>
      <c r="O11" s="543"/>
      <c r="P11" s="543"/>
      <c r="Q11" s="604">
        <v>10</v>
      </c>
      <c r="R11" s="606"/>
      <c r="S11" s="603">
        <v>12</v>
      </c>
      <c r="T11" s="543">
        <v>12</v>
      </c>
      <c r="U11" s="601" t="s">
        <v>987</v>
      </c>
      <c r="V11" s="543">
        <v>12</v>
      </c>
      <c r="W11" s="601" t="s">
        <v>987</v>
      </c>
      <c r="X11" s="601" t="s">
        <v>987</v>
      </c>
      <c r="Y11" s="601" t="s">
        <v>987</v>
      </c>
      <c r="Z11" s="601" t="s">
        <v>987</v>
      </c>
      <c r="AA11" s="601" t="s">
        <v>987</v>
      </c>
      <c r="AB11" s="601" t="s">
        <v>987</v>
      </c>
      <c r="AC11" s="601" t="s">
        <v>987</v>
      </c>
      <c r="AD11" s="601" t="s">
        <v>987</v>
      </c>
      <c r="AE11" s="602" t="s">
        <v>987</v>
      </c>
      <c r="AF11" s="603" t="s">
        <v>162</v>
      </c>
      <c r="AG11" s="604" t="s">
        <v>162</v>
      </c>
      <c r="AH11" s="607" t="s">
        <v>991</v>
      </c>
      <c r="AM11" s="184" t="s">
        <v>980</v>
      </c>
      <c r="AN11" s="616" t="s">
        <v>994</v>
      </c>
      <c r="AO11" s="519" t="s">
        <v>995</v>
      </c>
      <c r="AP11" s="519" t="s">
        <v>997</v>
      </c>
      <c r="AQ11" s="519" t="s">
        <v>995</v>
      </c>
      <c r="AR11" s="519" t="s">
        <v>997</v>
      </c>
      <c r="AS11" s="519" t="s">
        <v>997</v>
      </c>
      <c r="AT11" s="519" t="s">
        <v>996</v>
      </c>
      <c r="AU11" s="519" t="s">
        <v>996</v>
      </c>
      <c r="AV11" s="519" t="s">
        <v>996</v>
      </c>
      <c r="AW11" s="616" t="s">
        <v>990</v>
      </c>
      <c r="AX11" s="616" t="s">
        <v>990</v>
      </c>
      <c r="AY11" s="616" t="s">
        <v>990</v>
      </c>
      <c r="AZ11" s="616" t="s">
        <v>990</v>
      </c>
      <c r="BJ11" s="175" t="s">
        <v>985</v>
      </c>
    </row>
    <row r="12" spans="1:64" ht="43.5" thickBot="1" x14ac:dyDescent="0.25">
      <c r="B12" s="638" t="s">
        <v>122</v>
      </c>
      <c r="C12" s="536" t="s">
        <v>162</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987</v>
      </c>
      <c r="AA12" s="601" t="s">
        <v>987</v>
      </c>
      <c r="AB12" s="601" t="s">
        <v>987</v>
      </c>
      <c r="AC12" s="601" t="s">
        <v>987</v>
      </c>
      <c r="AD12" s="601" t="s">
        <v>987</v>
      </c>
      <c r="AE12" s="602" t="s">
        <v>987</v>
      </c>
      <c r="AF12" s="603" t="s">
        <v>162</v>
      </c>
      <c r="AG12" s="604" t="s">
        <v>162</v>
      </c>
      <c r="AH12" s="607" t="s">
        <v>998</v>
      </c>
      <c r="AM12" s="184" t="s">
        <v>122</v>
      </c>
      <c r="AN12" s="616" t="s">
        <v>999</v>
      </c>
      <c r="AO12" s="616" t="s">
        <v>1000</v>
      </c>
      <c r="AP12" s="616" t="s">
        <v>1000</v>
      </c>
      <c r="AQ12" s="616" t="s">
        <v>1000</v>
      </c>
      <c r="AR12" s="616" t="s">
        <v>1001</v>
      </c>
      <c r="AS12" s="616" t="s">
        <v>1001</v>
      </c>
      <c r="AT12" s="616" t="s">
        <v>1001</v>
      </c>
      <c r="AU12" s="519" t="s">
        <v>997</v>
      </c>
      <c r="AV12" s="519" t="s">
        <v>997</v>
      </c>
      <c r="AW12" s="519" t="s">
        <v>1002</v>
      </c>
      <c r="AX12" s="519" t="s">
        <v>997</v>
      </c>
      <c r="AY12" s="519" t="s">
        <v>997</v>
      </c>
      <c r="AZ12" s="616" t="s">
        <v>990</v>
      </c>
      <c r="BJ12" s="175" t="s">
        <v>985</v>
      </c>
    </row>
    <row r="13" spans="1:64" ht="43.5" thickBot="1" x14ac:dyDescent="0.25">
      <c r="B13" s="638" t="s">
        <v>123</v>
      </c>
      <c r="C13" s="536" t="s">
        <v>162</v>
      </c>
      <c r="D13" s="604">
        <v>2</v>
      </c>
      <c r="E13" s="603">
        <v>5</v>
      </c>
      <c r="F13" s="543"/>
      <c r="G13" s="543">
        <v>20</v>
      </c>
      <c r="H13" s="543"/>
      <c r="I13" s="604" t="s">
        <v>941</v>
      </c>
      <c r="J13" s="603"/>
      <c r="K13" s="543">
        <v>20</v>
      </c>
      <c r="L13" s="543"/>
      <c r="M13" s="543">
        <v>30</v>
      </c>
      <c r="N13" s="543"/>
      <c r="O13" s="543"/>
      <c r="P13" s="543"/>
      <c r="Q13" s="604">
        <v>10</v>
      </c>
      <c r="R13" s="606"/>
      <c r="S13" s="603">
        <v>12</v>
      </c>
      <c r="T13" s="543">
        <v>12</v>
      </c>
      <c r="U13" s="601" t="s">
        <v>987</v>
      </c>
      <c r="V13" s="543">
        <v>12</v>
      </c>
      <c r="W13" s="601" t="s">
        <v>987</v>
      </c>
      <c r="X13" s="601" t="s">
        <v>987</v>
      </c>
      <c r="Y13" s="543">
        <v>12</v>
      </c>
      <c r="Z13" s="601" t="s">
        <v>987</v>
      </c>
      <c r="AA13" s="601" t="s">
        <v>987</v>
      </c>
      <c r="AB13" s="601" t="s">
        <v>987</v>
      </c>
      <c r="AC13" s="601" t="s">
        <v>987</v>
      </c>
      <c r="AD13" s="601" t="s">
        <v>987</v>
      </c>
      <c r="AE13" s="602" t="s">
        <v>987</v>
      </c>
      <c r="AF13" s="603" t="s">
        <v>162</v>
      </c>
      <c r="AG13" s="604" t="s">
        <v>162</v>
      </c>
      <c r="AH13" s="607" t="s">
        <v>998</v>
      </c>
      <c r="AM13" s="184" t="s">
        <v>123</v>
      </c>
      <c r="AN13" s="616" t="s">
        <v>999</v>
      </c>
      <c r="AO13" s="616" t="s">
        <v>1000</v>
      </c>
      <c r="AP13" s="519" t="s">
        <v>997</v>
      </c>
      <c r="AQ13" s="616" t="s">
        <v>1000</v>
      </c>
      <c r="AR13" s="519" t="s">
        <v>997</v>
      </c>
      <c r="AS13" s="519" t="s">
        <v>997</v>
      </c>
      <c r="AT13" s="616" t="s">
        <v>1001</v>
      </c>
      <c r="AU13" s="519" t="s">
        <v>997</v>
      </c>
      <c r="AV13" s="519" t="s">
        <v>997</v>
      </c>
      <c r="AW13" s="519" t="s">
        <v>997</v>
      </c>
      <c r="AX13" s="519" t="s">
        <v>1002</v>
      </c>
      <c r="AY13" s="519" t="s">
        <v>1002</v>
      </c>
      <c r="AZ13" s="616" t="s">
        <v>990</v>
      </c>
      <c r="BJ13" s="175" t="s">
        <v>985</v>
      </c>
    </row>
    <row r="14" spans="1:64" ht="43.5" thickBot="1" x14ac:dyDescent="0.25">
      <c r="B14" s="638" t="s">
        <v>124</v>
      </c>
      <c r="C14" s="536" t="s">
        <v>162</v>
      </c>
      <c r="D14" s="604">
        <v>2</v>
      </c>
      <c r="E14" s="603">
        <v>5</v>
      </c>
      <c r="F14" s="543"/>
      <c r="G14" s="543">
        <v>20</v>
      </c>
      <c r="H14" s="543"/>
      <c r="I14" s="604" t="s">
        <v>941</v>
      </c>
      <c r="J14" s="603"/>
      <c r="K14" s="543">
        <v>20</v>
      </c>
      <c r="L14" s="543"/>
      <c r="M14" s="543">
        <v>30</v>
      </c>
      <c r="N14" s="543"/>
      <c r="O14" s="543"/>
      <c r="P14" s="543"/>
      <c r="Q14" s="604">
        <v>10</v>
      </c>
      <c r="R14" s="606"/>
      <c r="S14" s="603">
        <v>12</v>
      </c>
      <c r="T14" s="543">
        <v>12</v>
      </c>
      <c r="U14" s="601" t="s">
        <v>987</v>
      </c>
      <c r="V14" s="543">
        <v>12</v>
      </c>
      <c r="W14" s="601" t="s">
        <v>987</v>
      </c>
      <c r="X14" s="601" t="s">
        <v>987</v>
      </c>
      <c r="Y14" s="543">
        <v>12</v>
      </c>
      <c r="Z14" s="601" t="s">
        <v>987</v>
      </c>
      <c r="AA14" s="601" t="s">
        <v>987</v>
      </c>
      <c r="AB14" s="601" t="s">
        <v>987</v>
      </c>
      <c r="AC14" s="601" t="s">
        <v>987</v>
      </c>
      <c r="AD14" s="601" t="s">
        <v>987</v>
      </c>
      <c r="AE14" s="602" t="s">
        <v>987</v>
      </c>
      <c r="AF14" s="603" t="s">
        <v>162</v>
      </c>
      <c r="AG14" s="604" t="s">
        <v>162</v>
      </c>
      <c r="AH14" s="607" t="s">
        <v>998</v>
      </c>
      <c r="AM14" s="184" t="s">
        <v>124</v>
      </c>
      <c r="AN14" s="616" t="s">
        <v>999</v>
      </c>
      <c r="AO14" s="616" t="s">
        <v>1000</v>
      </c>
      <c r="AP14" s="519" t="s">
        <v>997</v>
      </c>
      <c r="AQ14" s="616" t="s">
        <v>1000</v>
      </c>
      <c r="AR14" s="519" t="s">
        <v>997</v>
      </c>
      <c r="AS14" s="519" t="s">
        <v>997</v>
      </c>
      <c r="AT14" s="616" t="s">
        <v>1001</v>
      </c>
      <c r="AU14" s="519" t="s">
        <v>997</v>
      </c>
      <c r="AV14" s="519" t="s">
        <v>997</v>
      </c>
      <c r="AW14" s="519" t="s">
        <v>997</v>
      </c>
      <c r="AX14" s="519" t="s">
        <v>1002</v>
      </c>
      <c r="AY14" s="519" t="s">
        <v>1002</v>
      </c>
      <c r="AZ14" s="616" t="s">
        <v>990</v>
      </c>
      <c r="BJ14" s="175" t="s">
        <v>985</v>
      </c>
    </row>
    <row r="15" spans="1:64" ht="43.5" thickBot="1" x14ac:dyDescent="0.25">
      <c r="B15" s="639" t="s">
        <v>125</v>
      </c>
      <c r="C15" s="499" t="s">
        <v>423</v>
      </c>
      <c r="D15" s="594">
        <v>1</v>
      </c>
      <c r="E15" s="608">
        <v>1</v>
      </c>
      <c r="F15" s="525"/>
      <c r="G15" s="525" t="s">
        <v>6</v>
      </c>
      <c r="H15" s="525"/>
      <c r="I15" s="594" t="s">
        <v>6</v>
      </c>
      <c r="J15" s="608"/>
      <c r="K15" s="525" t="s">
        <v>6</v>
      </c>
      <c r="L15" s="525"/>
      <c r="M15" s="525" t="s">
        <v>6</v>
      </c>
      <c r="N15" s="525"/>
      <c r="O15" s="525"/>
      <c r="P15" s="525"/>
      <c r="Q15" s="594" t="s">
        <v>6</v>
      </c>
      <c r="R15" s="609"/>
      <c r="S15" s="610" t="s">
        <v>987</v>
      </c>
      <c r="T15" s="611" t="s">
        <v>987</v>
      </c>
      <c r="U15" s="611" t="s">
        <v>987</v>
      </c>
      <c r="V15" s="611" t="s">
        <v>987</v>
      </c>
      <c r="W15" s="611" t="s">
        <v>987</v>
      </c>
      <c r="X15" s="611" t="s">
        <v>987</v>
      </c>
      <c r="Y15" s="611" t="s">
        <v>987</v>
      </c>
      <c r="Z15" s="611" t="s">
        <v>987</v>
      </c>
      <c r="AA15" s="611" t="s">
        <v>987</v>
      </c>
      <c r="AB15" s="611" t="s">
        <v>987</v>
      </c>
      <c r="AC15" s="611" t="s">
        <v>987</v>
      </c>
      <c r="AD15" s="611" t="s">
        <v>987</v>
      </c>
      <c r="AE15" s="612" t="s">
        <v>987</v>
      </c>
      <c r="AF15" s="608" t="s">
        <v>162</v>
      </c>
      <c r="AG15" s="594" t="s">
        <v>162</v>
      </c>
      <c r="AH15" s="567" t="s">
        <v>998</v>
      </c>
      <c r="AM15" s="184" t="s">
        <v>125</v>
      </c>
      <c r="AN15" s="519" t="s">
        <v>997</v>
      </c>
      <c r="AO15" s="519" t="s">
        <v>997</v>
      </c>
      <c r="AP15" s="519" t="s">
        <v>997</v>
      </c>
      <c r="AQ15" s="519" t="s">
        <v>997</v>
      </c>
      <c r="AR15" s="519" t="s">
        <v>997</v>
      </c>
      <c r="AS15" s="519" t="s">
        <v>997</v>
      </c>
      <c r="AT15" s="519" t="s">
        <v>997</v>
      </c>
      <c r="AU15" s="519" t="s">
        <v>997</v>
      </c>
      <c r="AV15" s="519" t="s">
        <v>997</v>
      </c>
      <c r="AW15" s="519" t="s">
        <v>997</v>
      </c>
      <c r="AX15" s="519" t="s">
        <v>997</v>
      </c>
      <c r="AY15" s="519" t="s">
        <v>997</v>
      </c>
      <c r="AZ15" s="519" t="s">
        <v>1003</v>
      </c>
      <c r="BJ15" s="175" t="s">
        <v>986</v>
      </c>
    </row>
    <row r="16" spans="1:64" x14ac:dyDescent="0.2">
      <c r="Q16" s="46"/>
    </row>
    <row r="17" spans="17:17" x14ac:dyDescent="0.2">
      <c r="Q17" s="31"/>
    </row>
    <row r="18" spans="17:17" x14ac:dyDescent="0.2">
      <c r="Q18" s="31"/>
    </row>
    <row r="19" spans="17:17" x14ac:dyDescent="0.2">
      <c r="Q19" s="31"/>
    </row>
    <row r="20" spans="17:17" ht="184.5" hidden="1" customHeight="1" x14ac:dyDescent="0.2"/>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4.25" zeroHeight="1" x14ac:dyDescent="0.2"/>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 thickBot="1" x14ac:dyDescent="0.25">
      <c r="A1" s="1052"/>
      <c r="B1" s="1052"/>
    </row>
    <row r="2" spans="1:55" ht="31.5" customHeight="1" thickBot="1" x14ac:dyDescent="0.3">
      <c r="A2" s="1052"/>
      <c r="B2" s="1052"/>
      <c r="C2" s="1066" t="s">
        <v>195</v>
      </c>
      <c r="D2" s="1067"/>
      <c r="E2" s="1056" t="s">
        <v>316</v>
      </c>
      <c r="F2" s="1057"/>
      <c r="G2" s="1057"/>
      <c r="H2" s="1056" t="s">
        <v>972</v>
      </c>
      <c r="I2" s="1057"/>
      <c r="J2" s="1057"/>
      <c r="K2" s="1057"/>
      <c r="L2" s="1058"/>
      <c r="N2" s="1068" t="s">
        <v>1004</v>
      </c>
      <c r="O2" s="1069"/>
      <c r="Q2" s="1064" t="s">
        <v>1005</v>
      </c>
      <c r="R2" s="1065"/>
      <c r="T2" s="1005" t="s">
        <v>1006</v>
      </c>
      <c r="U2" s="1011"/>
      <c r="V2" s="1011"/>
      <c r="W2" s="1011"/>
      <c r="X2" s="1011"/>
      <c r="Y2" s="1073"/>
      <c r="AA2" s="1074" t="s">
        <v>1007</v>
      </c>
      <c r="AB2" s="1075"/>
      <c r="AC2" s="132"/>
      <c r="AD2" s="1074" t="s">
        <v>1007</v>
      </c>
      <c r="AE2" s="1075"/>
      <c r="AG2" s="1074" t="s">
        <v>1008</v>
      </c>
      <c r="AH2" s="1076"/>
      <c r="AI2" s="1075"/>
      <c r="AK2" s="1074" t="s">
        <v>1008</v>
      </c>
      <c r="AL2" s="1076"/>
      <c r="AM2" s="1075"/>
      <c r="AO2" s="832" t="s">
        <v>1008</v>
      </c>
      <c r="AP2" s="1070"/>
      <c r="AQ2" s="288"/>
      <c r="AS2" s="1033" t="s">
        <v>1009</v>
      </c>
      <c r="AT2" s="1071"/>
      <c r="AU2" s="1072"/>
      <c r="AY2" s="289"/>
      <c r="AZ2" s="290" t="s">
        <v>206</v>
      </c>
      <c r="BB2" s="289" t="s">
        <v>1010</v>
      </c>
      <c r="BC2" s="290" t="s">
        <v>1011</v>
      </c>
    </row>
    <row r="3" spans="1:55" ht="57.75" thickBot="1" x14ac:dyDescent="0.25">
      <c r="B3" s="291" t="s">
        <v>828</v>
      </c>
      <c r="C3" s="265" t="s">
        <v>382</v>
      </c>
      <c r="D3" s="136" t="s">
        <v>383</v>
      </c>
      <c r="E3" s="640" t="s">
        <v>385</v>
      </c>
      <c r="F3" s="136" t="s">
        <v>386</v>
      </c>
      <c r="G3" s="642" t="s">
        <v>971</v>
      </c>
      <c r="H3" s="641" t="s">
        <v>27</v>
      </c>
      <c r="I3" s="292" t="s">
        <v>408</v>
      </c>
      <c r="J3" s="292" t="s">
        <v>26</v>
      </c>
      <c r="K3" s="292" t="s">
        <v>419</v>
      </c>
      <c r="L3" s="293" t="s">
        <v>233</v>
      </c>
      <c r="N3" s="643" t="s">
        <v>27</v>
      </c>
      <c r="O3" s="503">
        <v>10</v>
      </c>
      <c r="Q3" s="343" t="s">
        <v>973</v>
      </c>
      <c r="R3" s="594">
        <v>10</v>
      </c>
      <c r="T3" s="265"/>
      <c r="U3" s="1005" t="s">
        <v>1012</v>
      </c>
      <c r="V3" s="1011"/>
      <c r="W3" s="1011"/>
      <c r="X3" s="1011"/>
      <c r="Y3" s="1073"/>
      <c r="AA3" s="265" t="s">
        <v>1013</v>
      </c>
      <c r="AB3" s="264" t="s">
        <v>1014</v>
      </c>
      <c r="AC3" s="132"/>
      <c r="AD3" s="265" t="s">
        <v>1015</v>
      </c>
      <c r="AE3" s="264" t="s">
        <v>1014</v>
      </c>
      <c r="AG3" s="264" t="s">
        <v>1016</v>
      </c>
      <c r="AH3" s="263" t="s">
        <v>72</v>
      </c>
      <c r="AI3" s="136" t="s">
        <v>1017</v>
      </c>
      <c r="AK3" s="264" t="s">
        <v>1016</v>
      </c>
      <c r="AL3" s="263" t="s">
        <v>72</v>
      </c>
      <c r="AM3" s="136" t="s">
        <v>1017</v>
      </c>
      <c r="AO3" s="294" t="s">
        <v>1016</v>
      </c>
      <c r="AP3" s="136" t="s">
        <v>1017</v>
      </c>
      <c r="AS3" s="289" t="s">
        <v>1018</v>
      </c>
      <c r="AT3" s="295" t="s">
        <v>1019</v>
      </c>
      <c r="AU3" s="290" t="s">
        <v>1020</v>
      </c>
      <c r="AY3" s="296" t="s">
        <v>145</v>
      </c>
      <c r="AZ3" s="297" t="s">
        <v>1010</v>
      </c>
      <c r="BB3" s="143" t="s">
        <v>27</v>
      </c>
      <c r="BC3" s="144" t="s">
        <v>233</v>
      </c>
    </row>
    <row r="4" spans="1:55" ht="29.25" thickBot="1" x14ac:dyDescent="0.25">
      <c r="B4" s="88" t="s">
        <v>145</v>
      </c>
      <c r="C4" s="570" t="s">
        <v>401</v>
      </c>
      <c r="D4" s="519">
        <v>8</v>
      </c>
      <c r="E4" s="585" t="s">
        <v>159</v>
      </c>
      <c r="F4" s="585" t="s">
        <v>29</v>
      </c>
      <c r="G4" s="593" t="s">
        <v>1021</v>
      </c>
      <c r="H4" s="585">
        <v>3</v>
      </c>
      <c r="I4" s="585">
        <v>2.5</v>
      </c>
      <c r="J4" s="585">
        <v>2</v>
      </c>
      <c r="K4" s="585">
        <v>1.5</v>
      </c>
      <c r="L4" s="593">
        <v>1</v>
      </c>
      <c r="M4" s="22"/>
      <c r="N4" s="130" t="s">
        <v>408</v>
      </c>
      <c r="O4" s="519">
        <v>8</v>
      </c>
      <c r="T4" s="167" t="s">
        <v>1022</v>
      </c>
      <c r="U4" s="644" t="s">
        <v>233</v>
      </c>
      <c r="V4" s="298" t="s">
        <v>419</v>
      </c>
      <c r="W4" s="298" t="s">
        <v>26</v>
      </c>
      <c r="X4" s="298" t="s">
        <v>408</v>
      </c>
      <c r="Y4" s="298" t="s">
        <v>27</v>
      </c>
      <c r="AA4" s="104" t="s">
        <v>1023</v>
      </c>
      <c r="AB4" s="543">
        <v>1</v>
      </c>
      <c r="AC4" s="132"/>
      <c r="AD4" s="104" t="s">
        <v>1023</v>
      </c>
      <c r="AE4" s="543">
        <v>1</v>
      </c>
      <c r="AG4" s="104" t="s">
        <v>1024</v>
      </c>
      <c r="AH4" s="519" t="s">
        <v>929</v>
      </c>
      <c r="AI4" s="543">
        <v>1</v>
      </c>
      <c r="AK4" s="104" t="s">
        <v>1024</v>
      </c>
      <c r="AL4" s="519" t="s">
        <v>929</v>
      </c>
      <c r="AM4" s="543">
        <v>1</v>
      </c>
      <c r="AO4" s="130" t="s">
        <v>1025</v>
      </c>
      <c r="AP4" s="543">
        <v>1</v>
      </c>
      <c r="AS4" s="299" t="s">
        <v>401</v>
      </c>
      <c r="AT4" s="520">
        <v>8</v>
      </c>
      <c r="AU4" s="647" t="s">
        <v>1026</v>
      </c>
      <c r="AY4" s="87" t="s">
        <v>146</v>
      </c>
      <c r="AZ4" s="297" t="s">
        <v>1010</v>
      </c>
      <c r="BB4" s="187" t="s">
        <v>408</v>
      </c>
      <c r="BC4" s="300"/>
    </row>
    <row r="5" spans="1:55" ht="28.5" x14ac:dyDescent="0.2">
      <c r="B5" s="88" t="s">
        <v>146</v>
      </c>
      <c r="C5" s="570" t="s">
        <v>159</v>
      </c>
      <c r="D5" s="519">
        <v>6</v>
      </c>
      <c r="E5" s="585" t="s">
        <v>159</v>
      </c>
      <c r="F5" s="585" t="s">
        <v>29</v>
      </c>
      <c r="G5" s="593" t="s">
        <v>1021</v>
      </c>
      <c r="H5" s="585">
        <v>3</v>
      </c>
      <c r="I5" s="585">
        <v>2.5</v>
      </c>
      <c r="J5" s="585">
        <v>2</v>
      </c>
      <c r="K5" s="585">
        <v>1.5</v>
      </c>
      <c r="L5" s="593">
        <v>1</v>
      </c>
      <c r="M5" s="22"/>
      <c r="N5" s="130" t="s">
        <v>26</v>
      </c>
      <c r="O5" s="519">
        <v>5</v>
      </c>
      <c r="T5" s="130" t="s">
        <v>233</v>
      </c>
      <c r="U5" s="645">
        <v>1</v>
      </c>
      <c r="V5" s="584">
        <v>2</v>
      </c>
      <c r="W5" s="584">
        <v>4</v>
      </c>
      <c r="X5" s="584">
        <v>6</v>
      </c>
      <c r="Y5" s="584">
        <v>8</v>
      </c>
      <c r="AA5" s="104" t="s">
        <v>1027</v>
      </c>
      <c r="AB5" s="543">
        <v>0.8</v>
      </c>
      <c r="AC5" s="132"/>
      <c r="AD5" s="104" t="s">
        <v>1027</v>
      </c>
      <c r="AE5" s="543">
        <v>0.95</v>
      </c>
      <c r="AG5" s="104" t="s">
        <v>1028</v>
      </c>
      <c r="AH5" s="519" t="s">
        <v>921</v>
      </c>
      <c r="AI5" s="543">
        <v>1.1499999999999999</v>
      </c>
      <c r="AK5" s="104" t="s">
        <v>1029</v>
      </c>
      <c r="AL5" s="519" t="s">
        <v>921</v>
      </c>
      <c r="AM5" s="543">
        <v>1.1499999999999999</v>
      </c>
      <c r="AO5" s="130" t="s">
        <v>1030</v>
      </c>
      <c r="AP5" s="543">
        <v>0.75</v>
      </c>
      <c r="AS5" s="266" t="s">
        <v>159</v>
      </c>
      <c r="AT5" s="543">
        <v>6</v>
      </c>
      <c r="AU5" s="523" t="s">
        <v>1031</v>
      </c>
      <c r="AY5" s="87" t="s">
        <v>147</v>
      </c>
      <c r="AZ5" s="297" t="s">
        <v>1010</v>
      </c>
      <c r="BB5" s="187" t="s">
        <v>26</v>
      </c>
      <c r="BC5" s="300"/>
    </row>
    <row r="6" spans="1:55" ht="28.5" x14ac:dyDescent="0.2">
      <c r="B6" s="88" t="s">
        <v>147</v>
      </c>
      <c r="C6" s="570" t="s">
        <v>29</v>
      </c>
      <c r="D6" s="543">
        <v>4</v>
      </c>
      <c r="E6" s="585" t="s">
        <v>162</v>
      </c>
      <c r="F6" s="585" t="s">
        <v>29</v>
      </c>
      <c r="G6" s="593" t="s">
        <v>1021</v>
      </c>
      <c r="H6" s="585">
        <v>3</v>
      </c>
      <c r="I6" s="585">
        <v>2.5</v>
      </c>
      <c r="J6" s="585">
        <v>2</v>
      </c>
      <c r="K6" s="585">
        <v>1.5</v>
      </c>
      <c r="L6" s="593">
        <v>1</v>
      </c>
      <c r="M6" s="22"/>
      <c r="N6" s="130" t="s">
        <v>419</v>
      </c>
      <c r="O6" s="519">
        <v>2</v>
      </c>
      <c r="T6" s="130" t="s">
        <v>419</v>
      </c>
      <c r="U6" s="646" t="s">
        <v>6</v>
      </c>
      <c r="V6" s="585">
        <v>1</v>
      </c>
      <c r="W6" s="585">
        <v>2</v>
      </c>
      <c r="X6" s="585">
        <v>4</v>
      </c>
      <c r="Y6" s="585">
        <v>6</v>
      </c>
      <c r="AA6" s="104" t="s">
        <v>1032</v>
      </c>
      <c r="AB6" s="543">
        <v>0.5</v>
      </c>
      <c r="AC6" s="132"/>
      <c r="AD6" s="104" t="s">
        <v>26</v>
      </c>
      <c r="AE6" s="543">
        <v>0.85</v>
      </c>
      <c r="AG6" s="104" t="s">
        <v>1033</v>
      </c>
      <c r="AH6" s="519" t="s">
        <v>921</v>
      </c>
      <c r="AI6" s="543">
        <v>1.1499999999999999</v>
      </c>
      <c r="AK6" s="104" t="s">
        <v>1034</v>
      </c>
      <c r="AL6" s="519" t="s">
        <v>921</v>
      </c>
      <c r="AM6" s="543">
        <v>1.1499999999999999</v>
      </c>
      <c r="AO6" s="130" t="s">
        <v>1035</v>
      </c>
      <c r="AP6" s="543">
        <v>0.5</v>
      </c>
      <c r="AS6" s="266" t="s">
        <v>29</v>
      </c>
      <c r="AT6" s="543">
        <v>4</v>
      </c>
      <c r="AU6" s="523" t="s">
        <v>1036</v>
      </c>
      <c r="AY6" s="87" t="s">
        <v>148</v>
      </c>
      <c r="AZ6" s="297" t="s">
        <v>1010</v>
      </c>
      <c r="BB6" s="187" t="s">
        <v>419</v>
      </c>
      <c r="BC6" s="300"/>
    </row>
    <row r="7" spans="1:55" ht="29.25" thickBot="1" x14ac:dyDescent="0.25">
      <c r="B7" s="88" t="s">
        <v>148</v>
      </c>
      <c r="C7" s="570" t="s">
        <v>29</v>
      </c>
      <c r="D7" s="543">
        <v>4</v>
      </c>
      <c r="E7" s="585" t="s">
        <v>162</v>
      </c>
      <c r="F7" s="585" t="s">
        <v>29</v>
      </c>
      <c r="G7" s="593" t="s">
        <v>1021</v>
      </c>
      <c r="H7" s="585">
        <v>3</v>
      </c>
      <c r="I7" s="585">
        <v>2.5</v>
      </c>
      <c r="J7" s="585">
        <v>2</v>
      </c>
      <c r="K7" s="585">
        <v>1.5</v>
      </c>
      <c r="L7" s="593">
        <v>1</v>
      </c>
      <c r="M7" s="22"/>
      <c r="N7" s="130" t="s">
        <v>233</v>
      </c>
      <c r="O7" s="519">
        <v>1</v>
      </c>
      <c r="T7" s="130" t="s">
        <v>26</v>
      </c>
      <c r="U7" s="646" t="s">
        <v>6</v>
      </c>
      <c r="V7" s="585" t="s">
        <v>6</v>
      </c>
      <c r="W7" s="585">
        <v>1</v>
      </c>
      <c r="X7" s="585">
        <v>2</v>
      </c>
      <c r="Y7" s="585">
        <v>4</v>
      </c>
      <c r="AA7" s="104" t="s">
        <v>1037</v>
      </c>
      <c r="AB7" s="543">
        <v>1</v>
      </c>
      <c r="AC7" s="132"/>
      <c r="AD7" s="104" t="s">
        <v>1032</v>
      </c>
      <c r="AE7" s="543">
        <v>0.75</v>
      </c>
      <c r="AG7" s="104" t="s">
        <v>1038</v>
      </c>
      <c r="AH7" s="519" t="s">
        <v>921</v>
      </c>
      <c r="AI7" s="543">
        <v>1.1499999999999999</v>
      </c>
      <c r="AK7" s="104" t="s">
        <v>1039</v>
      </c>
      <c r="AL7" s="519" t="s">
        <v>921</v>
      </c>
      <c r="AM7" s="543">
        <v>1.1499999999999999</v>
      </c>
      <c r="AO7" s="301"/>
      <c r="AP7" s="301"/>
      <c r="AS7" s="261" t="s">
        <v>162</v>
      </c>
      <c r="AT7" s="525">
        <v>2</v>
      </c>
      <c r="AU7" s="594" t="s">
        <v>1040</v>
      </c>
      <c r="AY7" s="89" t="s">
        <v>149</v>
      </c>
      <c r="AZ7" s="297" t="s">
        <v>1011</v>
      </c>
      <c r="BB7" s="189" t="s">
        <v>233</v>
      </c>
      <c r="BC7" s="302"/>
    </row>
    <row r="8" spans="1:55" ht="28.5" x14ac:dyDescent="0.2">
      <c r="B8" s="110" t="s">
        <v>149</v>
      </c>
      <c r="C8" s="570" t="s">
        <v>162</v>
      </c>
      <c r="D8" s="543">
        <v>2</v>
      </c>
      <c r="E8" s="585" t="s">
        <v>162</v>
      </c>
      <c r="F8" s="585" t="s">
        <v>29</v>
      </c>
      <c r="G8" s="593" t="s">
        <v>1021</v>
      </c>
      <c r="H8" s="585" t="s">
        <v>940</v>
      </c>
      <c r="I8" s="585" t="s">
        <v>940</v>
      </c>
      <c r="J8" s="585" t="s">
        <v>940</v>
      </c>
      <c r="K8" s="585" t="s">
        <v>940</v>
      </c>
      <c r="L8" s="593">
        <v>1</v>
      </c>
      <c r="M8" s="22"/>
      <c r="T8" s="130" t="s">
        <v>408</v>
      </c>
      <c r="U8" s="646" t="s">
        <v>6</v>
      </c>
      <c r="V8" s="585" t="s">
        <v>6</v>
      </c>
      <c r="W8" s="585" t="s">
        <v>6</v>
      </c>
      <c r="X8" s="585">
        <v>1</v>
      </c>
      <c r="Y8" s="585">
        <v>2</v>
      </c>
      <c r="AC8" s="132"/>
      <c r="AG8" s="104" t="s">
        <v>1041</v>
      </c>
      <c r="AH8" s="519" t="s">
        <v>921</v>
      </c>
      <c r="AI8" s="543">
        <v>1.1499999999999999</v>
      </c>
      <c r="AK8" s="104" t="s">
        <v>1042</v>
      </c>
      <c r="AL8" s="519" t="s">
        <v>921</v>
      </c>
      <c r="AM8" s="543">
        <v>1.1499999999999999</v>
      </c>
    </row>
    <row r="9" spans="1:55" ht="28.5" x14ac:dyDescent="0.2">
      <c r="T9" s="130" t="s">
        <v>27</v>
      </c>
      <c r="U9" s="646" t="s">
        <v>6</v>
      </c>
      <c r="V9" s="585" t="s">
        <v>6</v>
      </c>
      <c r="W9" s="585" t="s">
        <v>6</v>
      </c>
      <c r="X9" s="585" t="s">
        <v>6</v>
      </c>
      <c r="Y9" s="585">
        <v>1</v>
      </c>
      <c r="AG9" s="104" t="s">
        <v>1043</v>
      </c>
      <c r="AH9" s="519" t="s">
        <v>921</v>
      </c>
      <c r="AI9" s="543">
        <v>1.1499999999999999</v>
      </c>
      <c r="AK9" s="104" t="s">
        <v>1044</v>
      </c>
      <c r="AL9" s="519" t="s">
        <v>921</v>
      </c>
      <c r="AM9" s="543">
        <v>1.1499999999999999</v>
      </c>
    </row>
    <row r="10" spans="1:55" x14ac:dyDescent="0.2">
      <c r="AF10" s="132"/>
    </row>
    <row r="11" spans="1:55" x14ac:dyDescent="0.2">
      <c r="AF11" s="132"/>
    </row>
    <row r="12" spans="1:55" x14ac:dyDescent="0.2">
      <c r="AF12" s="132"/>
    </row>
    <row r="13" spans="1:55" x14ac:dyDescent="0.2">
      <c r="AF13" s="132"/>
      <c r="AG13" s="132"/>
      <c r="AH13" s="132"/>
    </row>
    <row r="14" spans="1:55" x14ac:dyDescent="0.2">
      <c r="AF14" s="132"/>
    </row>
    <row r="15" spans="1:55" x14ac:dyDescent="0.2"/>
    <row r="16" spans="1:5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x14ac:dyDescent="0.4">
      <c r="A1" s="1079"/>
      <c r="B1" s="280"/>
      <c r="C1" s="280"/>
      <c r="D1" s="280"/>
      <c r="E1" s="280"/>
      <c r="F1" s="280"/>
      <c r="G1" s="280"/>
      <c r="H1" s="305"/>
    </row>
    <row r="2" spans="1:14" ht="29.45" customHeight="1" x14ac:dyDescent="0.4">
      <c r="A2" s="1080"/>
      <c r="B2" s="1077" t="s">
        <v>972</v>
      </c>
      <c r="C2" s="1077"/>
      <c r="D2" s="1077"/>
      <c r="E2" s="1077"/>
      <c r="F2" s="1077"/>
      <c r="G2" s="1077"/>
      <c r="H2" s="1078"/>
    </row>
    <row r="3" spans="1:14" ht="28.5" x14ac:dyDescent="0.3">
      <c r="A3" s="282" t="s">
        <v>828</v>
      </c>
      <c r="B3" s="104" t="s">
        <v>27</v>
      </c>
      <c r="C3" s="104" t="s">
        <v>408</v>
      </c>
      <c r="D3" s="104" t="s">
        <v>26</v>
      </c>
      <c r="E3" s="104" t="s">
        <v>419</v>
      </c>
      <c r="F3" s="130" t="s">
        <v>233</v>
      </c>
      <c r="G3" s="130" t="s">
        <v>230</v>
      </c>
      <c r="H3" s="104" t="s">
        <v>241</v>
      </c>
      <c r="I3" s="31" t="s">
        <v>206</v>
      </c>
      <c r="J3" s="1081" t="s">
        <v>1045</v>
      </c>
      <c r="K3" s="1082"/>
      <c r="L3" s="1082"/>
      <c r="M3" s="1083"/>
    </row>
    <row r="4" spans="1:14" ht="14.25" x14ac:dyDescent="0.2">
      <c r="A4" s="88" t="str">
        <f>'G-1 All Habitats'!B3</f>
        <v>Cropland - Arable field margins cultivated annually</v>
      </c>
      <c r="B4" s="543" t="s">
        <v>940</v>
      </c>
      <c r="C4" s="543" t="s">
        <v>940</v>
      </c>
      <c r="D4" s="543" t="s">
        <v>940</v>
      </c>
      <c r="E4" s="543" t="s">
        <v>940</v>
      </c>
      <c r="F4" s="543" t="s">
        <v>940</v>
      </c>
      <c r="G4" s="543">
        <v>1</v>
      </c>
      <c r="H4" s="543" t="s">
        <v>940</v>
      </c>
      <c r="I4" s="31" t="str">
        <f>IF(G4=1,"Cond1",IF(H4=0,"Cond2",IF(AND(B4=3,C4=2.5,D4=2,E4=1.5,F4=1),"Cond4",IF(F4=1,"Cond3","Check"))))</f>
        <v>Cond1</v>
      </c>
      <c r="J4" s="304" t="s">
        <v>1046</v>
      </c>
      <c r="K4" s="304" t="s">
        <v>1047</v>
      </c>
      <c r="L4" s="304" t="s">
        <v>1048</v>
      </c>
      <c r="M4" s="304" t="s">
        <v>1049</v>
      </c>
      <c r="N4" s="31" t="s">
        <v>1050</v>
      </c>
    </row>
    <row r="5" spans="1:14" ht="14.25" x14ac:dyDescent="0.2">
      <c r="A5" s="88" t="str">
        <f>'G-1 All Habitats'!B4</f>
        <v>Cropland - Arable field margins game bird mix</v>
      </c>
      <c r="B5" s="543" t="s">
        <v>940</v>
      </c>
      <c r="C5" s="543" t="s">
        <v>940</v>
      </c>
      <c r="D5" s="543" t="s">
        <v>940</v>
      </c>
      <c r="E5" s="543" t="s">
        <v>940</v>
      </c>
      <c r="F5" s="543" t="s">
        <v>940</v>
      </c>
      <c r="G5" s="543">
        <v>1</v>
      </c>
      <c r="H5" s="543" t="s">
        <v>940</v>
      </c>
      <c r="I5" s="31" t="str">
        <f t="shared" ref="I5:I8" si="0">IF(G5=1,"Cond1",IF(H5=0,"Cond2",IF(AND(B5=3,C5=2.5,D5=2,E5=1.5,F5=1),"Cond4",IF(F5=1,"Cond3","Check"))))</f>
        <v>Cond1</v>
      </c>
      <c r="J5" s="216" t="s">
        <v>230</v>
      </c>
      <c r="K5" s="216" t="s">
        <v>241</v>
      </c>
      <c r="L5" s="277" t="s">
        <v>233</v>
      </c>
      <c r="M5" s="216" t="s">
        <v>27</v>
      </c>
      <c r="N5" s="31" t="s">
        <v>27</v>
      </c>
    </row>
    <row r="6" spans="1:14" ht="14.25" x14ac:dyDescent="0.2">
      <c r="A6" s="88" t="str">
        <f>'G-1 All Habitats'!B5</f>
        <v>Cropland - Arable field margins pollen &amp; nectar</v>
      </c>
      <c r="B6" s="543" t="s">
        <v>940</v>
      </c>
      <c r="C6" s="543" t="s">
        <v>940</v>
      </c>
      <c r="D6" s="543" t="s">
        <v>940</v>
      </c>
      <c r="E6" s="543" t="s">
        <v>940</v>
      </c>
      <c r="F6" s="543" t="s">
        <v>940</v>
      </c>
      <c r="G6" s="543">
        <v>1</v>
      </c>
      <c r="H6" s="543" t="s">
        <v>940</v>
      </c>
      <c r="I6" s="31" t="str">
        <f t="shared" si="0"/>
        <v>Cond1</v>
      </c>
      <c r="M6" s="216" t="s">
        <v>408</v>
      </c>
    </row>
    <row r="7" spans="1:14" ht="14.25" x14ac:dyDescent="0.2">
      <c r="A7" s="88" t="str">
        <f>'G-1 All Habitats'!B6</f>
        <v>Cropland - Arable field margins tussocky</v>
      </c>
      <c r="B7" s="543" t="s">
        <v>940</v>
      </c>
      <c r="C7" s="543" t="s">
        <v>940</v>
      </c>
      <c r="D7" s="543" t="s">
        <v>940</v>
      </c>
      <c r="E7" s="543" t="s">
        <v>940</v>
      </c>
      <c r="F7" s="543" t="s">
        <v>940</v>
      </c>
      <c r="G7" s="543">
        <v>1</v>
      </c>
      <c r="H7" s="543" t="s">
        <v>940</v>
      </c>
      <c r="I7" s="31" t="str">
        <f t="shared" si="0"/>
        <v>Cond1</v>
      </c>
      <c r="M7" s="216" t="s">
        <v>26</v>
      </c>
    </row>
    <row r="8" spans="1:14" ht="14.25" x14ac:dyDescent="0.2">
      <c r="A8" s="88" t="str">
        <f>'G-1 All Habitats'!B7</f>
        <v>Cropland - Cereal crops</v>
      </c>
      <c r="B8" s="543" t="s">
        <v>940</v>
      </c>
      <c r="C8" s="543" t="s">
        <v>940</v>
      </c>
      <c r="D8" s="543" t="s">
        <v>940</v>
      </c>
      <c r="E8" s="543" t="s">
        <v>940</v>
      </c>
      <c r="F8" s="543" t="s">
        <v>940</v>
      </c>
      <c r="G8" s="543">
        <v>1</v>
      </c>
      <c r="H8" s="543" t="s">
        <v>940</v>
      </c>
      <c r="I8" s="31" t="str">
        <f t="shared" si="0"/>
        <v>Cond1</v>
      </c>
      <c r="M8" s="216" t="s">
        <v>419</v>
      </c>
    </row>
    <row r="9" spans="1:14" ht="14.25" x14ac:dyDescent="0.2">
      <c r="A9" s="88" t="str">
        <f>'G-1 All Habitats'!B8</f>
        <v>Cropland - Cereal crops winter stubble</v>
      </c>
      <c r="B9" s="543" t="s">
        <v>940</v>
      </c>
      <c r="C9" s="543" t="s">
        <v>940</v>
      </c>
      <c r="D9" s="543" t="s">
        <v>940</v>
      </c>
      <c r="E9" s="543" t="s">
        <v>940</v>
      </c>
      <c r="F9" s="543" t="s">
        <v>940</v>
      </c>
      <c r="G9" s="543">
        <v>1</v>
      </c>
      <c r="H9" s="543" t="s">
        <v>940</v>
      </c>
      <c r="I9" s="31" t="str">
        <f t="shared" ref="I9:I40" si="1">IF(G9=1,"Cond1",IF(H9=0,"Cond2",IF(AND(B9=3,C9=2.5,D9=2,E9=1.5,F9=1),"Cond4",IF(F9=1,"Cond3","Check"))))</f>
        <v>Cond1</v>
      </c>
      <c r="M9" s="277" t="s">
        <v>233</v>
      </c>
    </row>
    <row r="10" spans="1:14" ht="14.25" x14ac:dyDescent="0.2">
      <c r="A10" s="88" t="str">
        <f>'G-1 All Habitats'!B9</f>
        <v>Cropland - Horticulture</v>
      </c>
      <c r="B10" s="543" t="s">
        <v>940</v>
      </c>
      <c r="C10" s="543" t="s">
        <v>940</v>
      </c>
      <c r="D10" s="543" t="s">
        <v>940</v>
      </c>
      <c r="E10" s="543" t="s">
        <v>940</v>
      </c>
      <c r="F10" s="543" t="s">
        <v>940</v>
      </c>
      <c r="G10" s="543">
        <v>1</v>
      </c>
      <c r="H10" s="543" t="s">
        <v>940</v>
      </c>
      <c r="I10" s="31" t="str">
        <f t="shared" si="1"/>
        <v>Cond1</v>
      </c>
    </row>
    <row r="11" spans="1:14" ht="14.25" x14ac:dyDescent="0.2">
      <c r="A11" s="88" t="str">
        <f>'G-1 All Habitats'!B10</f>
        <v>Cropland - Intensive orchards</v>
      </c>
      <c r="B11" s="543" t="s">
        <v>940</v>
      </c>
      <c r="C11" s="543" t="s">
        <v>940</v>
      </c>
      <c r="D11" s="543" t="s">
        <v>940</v>
      </c>
      <c r="E11" s="543" t="s">
        <v>940</v>
      </c>
      <c r="F11" s="543" t="s">
        <v>940</v>
      </c>
      <c r="G11" s="543">
        <v>1</v>
      </c>
      <c r="H11" s="543" t="s">
        <v>940</v>
      </c>
      <c r="I11" s="31" t="str">
        <f t="shared" si="1"/>
        <v>Cond1</v>
      </c>
    </row>
    <row r="12" spans="1:14" ht="14.25" x14ac:dyDescent="0.2">
      <c r="A12" s="88" t="str">
        <f>'G-1 All Habitats'!B11</f>
        <v>Cropland - Non-cereal crops</v>
      </c>
      <c r="B12" s="543" t="s">
        <v>940</v>
      </c>
      <c r="C12" s="543" t="s">
        <v>940</v>
      </c>
      <c r="D12" s="543" t="s">
        <v>940</v>
      </c>
      <c r="E12" s="543" t="s">
        <v>940</v>
      </c>
      <c r="F12" s="543" t="s">
        <v>940</v>
      </c>
      <c r="G12" s="543">
        <v>1</v>
      </c>
      <c r="H12" s="543" t="s">
        <v>940</v>
      </c>
      <c r="I12" s="31" t="str">
        <f t="shared" si="1"/>
        <v>Cond1</v>
      </c>
    </row>
    <row r="13" spans="1:14" ht="14.25" x14ac:dyDescent="0.2">
      <c r="A13" s="88" t="str">
        <f>'G-1 All Habitats'!B12</f>
        <v>Cropland - Temporary grass and clover leys</v>
      </c>
      <c r="B13" s="543" t="s">
        <v>940</v>
      </c>
      <c r="C13" s="543" t="s">
        <v>940</v>
      </c>
      <c r="D13" s="543" t="s">
        <v>940</v>
      </c>
      <c r="E13" s="543" t="s">
        <v>940</v>
      </c>
      <c r="F13" s="543" t="s">
        <v>940</v>
      </c>
      <c r="G13" s="543">
        <v>1</v>
      </c>
      <c r="H13" s="543" t="s">
        <v>940</v>
      </c>
      <c r="I13" s="31" t="str">
        <f t="shared" si="1"/>
        <v>Cond1</v>
      </c>
    </row>
    <row r="14" spans="1:14" ht="14.25" x14ac:dyDescent="0.2">
      <c r="A14" s="88" t="str">
        <f>'G-1 All Habitats'!B13</f>
        <v>Grassland - Traditional orchards</v>
      </c>
      <c r="B14" s="543">
        <v>3</v>
      </c>
      <c r="C14" s="543">
        <v>2.5</v>
      </c>
      <c r="D14" s="543">
        <v>2</v>
      </c>
      <c r="E14" s="543">
        <v>1.5</v>
      </c>
      <c r="F14" s="543">
        <v>1</v>
      </c>
      <c r="G14" s="543" t="s">
        <v>940</v>
      </c>
      <c r="H14" s="543" t="s">
        <v>940</v>
      </c>
      <c r="I14" s="31" t="str">
        <f t="shared" si="1"/>
        <v>Cond4</v>
      </c>
    </row>
    <row r="15" spans="1:14" ht="14.25" x14ac:dyDescent="0.2">
      <c r="A15" s="88" t="str">
        <f>'G-1 All Habitats'!B14</f>
        <v>Grassland - Bracken</v>
      </c>
      <c r="B15" s="543" t="s">
        <v>940</v>
      </c>
      <c r="C15" s="543" t="s">
        <v>940</v>
      </c>
      <c r="D15" s="543" t="s">
        <v>940</v>
      </c>
      <c r="E15" s="543" t="s">
        <v>940</v>
      </c>
      <c r="F15" s="543" t="s">
        <v>940</v>
      </c>
      <c r="G15" s="543">
        <v>1</v>
      </c>
      <c r="H15" s="543" t="s">
        <v>940</v>
      </c>
      <c r="I15" s="31" t="str">
        <f t="shared" si="1"/>
        <v>Cond1</v>
      </c>
    </row>
    <row r="16" spans="1:14" ht="14.25" x14ac:dyDescent="0.2">
      <c r="A16" s="88" t="str">
        <f>'G-1 All Habitats'!B15</f>
        <v>Grassland - Floodplain Wetland Mosaic (CFGM)</v>
      </c>
      <c r="B16" s="543">
        <v>3</v>
      </c>
      <c r="C16" s="543">
        <v>2.5</v>
      </c>
      <c r="D16" s="543">
        <v>2</v>
      </c>
      <c r="E16" s="543">
        <v>1.5</v>
      </c>
      <c r="F16" s="543">
        <v>1</v>
      </c>
      <c r="G16" s="543" t="s">
        <v>940</v>
      </c>
      <c r="H16" s="543" t="s">
        <v>940</v>
      </c>
      <c r="I16" s="31" t="str">
        <f t="shared" si="1"/>
        <v>Cond4</v>
      </c>
    </row>
    <row r="17" spans="1:9" ht="14.25" x14ac:dyDescent="0.2">
      <c r="A17" s="88" t="str">
        <f>'G-1 All Habitats'!B16</f>
        <v>Grassland - Lowland calcareous grassland</v>
      </c>
      <c r="B17" s="543">
        <v>3</v>
      </c>
      <c r="C17" s="543">
        <v>2.5</v>
      </c>
      <c r="D17" s="543">
        <v>2</v>
      </c>
      <c r="E17" s="543">
        <v>1.5</v>
      </c>
      <c r="F17" s="543">
        <v>1</v>
      </c>
      <c r="G17" s="543" t="s">
        <v>940</v>
      </c>
      <c r="H17" s="543" t="s">
        <v>940</v>
      </c>
      <c r="I17" s="31" t="str">
        <f t="shared" si="1"/>
        <v>Cond4</v>
      </c>
    </row>
    <row r="18" spans="1:9" ht="14.25" x14ac:dyDescent="0.2">
      <c r="A18" s="88" t="str">
        <f>'G-1 All Habitats'!B17</f>
        <v>Grassland - Lowland dry acid grassland</v>
      </c>
      <c r="B18" s="543">
        <v>3</v>
      </c>
      <c r="C18" s="543">
        <v>2.5</v>
      </c>
      <c r="D18" s="543">
        <v>2</v>
      </c>
      <c r="E18" s="543">
        <v>1.5</v>
      </c>
      <c r="F18" s="543">
        <v>1</v>
      </c>
      <c r="G18" s="543" t="s">
        <v>940</v>
      </c>
      <c r="H18" s="543" t="s">
        <v>940</v>
      </c>
      <c r="I18" s="31" t="str">
        <f t="shared" si="1"/>
        <v>Cond4</v>
      </c>
    </row>
    <row r="19" spans="1:9" ht="14.25" x14ac:dyDescent="0.2">
      <c r="A19" s="88" t="str">
        <f>'G-1 All Habitats'!B18</f>
        <v>Grassland - Lowland meadows</v>
      </c>
      <c r="B19" s="543">
        <v>3</v>
      </c>
      <c r="C19" s="543">
        <v>2.5</v>
      </c>
      <c r="D19" s="543">
        <v>2</v>
      </c>
      <c r="E19" s="543">
        <v>1.5</v>
      </c>
      <c r="F19" s="543">
        <v>1</v>
      </c>
      <c r="G19" s="543" t="s">
        <v>940</v>
      </c>
      <c r="H19" s="543" t="s">
        <v>940</v>
      </c>
      <c r="I19" s="31" t="str">
        <f t="shared" si="1"/>
        <v>Cond4</v>
      </c>
    </row>
    <row r="20" spans="1:9" ht="14.25" x14ac:dyDescent="0.2">
      <c r="A20" s="88" t="str">
        <f>'G-1 All Habitats'!B19</f>
        <v>Grassland - Modified grassland</v>
      </c>
      <c r="B20" s="543">
        <v>3</v>
      </c>
      <c r="C20" s="543">
        <v>2.5</v>
      </c>
      <c r="D20" s="543">
        <v>2</v>
      </c>
      <c r="E20" s="543">
        <v>1.5</v>
      </c>
      <c r="F20" s="543">
        <v>1</v>
      </c>
      <c r="G20" s="543" t="s">
        <v>940</v>
      </c>
      <c r="H20" s="543" t="s">
        <v>940</v>
      </c>
      <c r="I20" s="31" t="str">
        <f t="shared" si="1"/>
        <v>Cond4</v>
      </c>
    </row>
    <row r="21" spans="1:9" ht="15" customHeight="1" x14ac:dyDescent="0.2">
      <c r="A21" s="88" t="str">
        <f>'G-1 All Habitats'!B20</f>
        <v>Grassland - Other lowland acid grassland</v>
      </c>
      <c r="B21" s="543">
        <v>3</v>
      </c>
      <c r="C21" s="543">
        <v>2.5</v>
      </c>
      <c r="D21" s="543">
        <v>2</v>
      </c>
      <c r="E21" s="543">
        <v>1.5</v>
      </c>
      <c r="F21" s="543">
        <v>1</v>
      </c>
      <c r="G21" s="543" t="s">
        <v>940</v>
      </c>
      <c r="H21" s="543" t="s">
        <v>940</v>
      </c>
      <c r="I21" s="31" t="str">
        <f t="shared" si="1"/>
        <v>Cond4</v>
      </c>
    </row>
    <row r="22" spans="1:9" ht="15" customHeight="1" x14ac:dyDescent="0.2">
      <c r="A22" s="88" t="str">
        <f>'G-1 All Habitats'!B21</f>
        <v>Grassland - Other neutral grassland</v>
      </c>
      <c r="B22" s="543">
        <v>3</v>
      </c>
      <c r="C22" s="543">
        <v>2.5</v>
      </c>
      <c r="D22" s="543">
        <v>2</v>
      </c>
      <c r="E22" s="543">
        <v>1.5</v>
      </c>
      <c r="F22" s="543">
        <v>1</v>
      </c>
      <c r="G22" s="543" t="s">
        <v>940</v>
      </c>
      <c r="H22" s="543" t="s">
        <v>940</v>
      </c>
      <c r="I22" s="31" t="str">
        <f t="shared" si="1"/>
        <v>Cond4</v>
      </c>
    </row>
    <row r="23" spans="1:9" ht="15" customHeight="1" x14ac:dyDescent="0.2">
      <c r="A23" s="88" t="str">
        <f>'G-1 All Habitats'!B22</f>
        <v>Grassland - Tall herb communities (H6430)</v>
      </c>
      <c r="B23" s="543">
        <v>3</v>
      </c>
      <c r="C23" s="543">
        <v>2.5</v>
      </c>
      <c r="D23" s="543">
        <v>2</v>
      </c>
      <c r="E23" s="543">
        <v>1.5</v>
      </c>
      <c r="F23" s="543">
        <v>1</v>
      </c>
      <c r="G23" s="543" t="s">
        <v>940</v>
      </c>
      <c r="H23" s="543" t="s">
        <v>940</v>
      </c>
      <c r="I23" s="31" t="str">
        <f t="shared" si="1"/>
        <v>Cond4</v>
      </c>
    </row>
    <row r="24" spans="1:9" ht="15" customHeight="1" x14ac:dyDescent="0.2">
      <c r="A24" s="88" t="str">
        <f>'G-1 All Habitats'!B23</f>
        <v>Grassland - Upland acid grassland</v>
      </c>
      <c r="B24" s="543">
        <v>3</v>
      </c>
      <c r="C24" s="543">
        <v>2.5</v>
      </c>
      <c r="D24" s="543">
        <v>2</v>
      </c>
      <c r="E24" s="543">
        <v>1.5</v>
      </c>
      <c r="F24" s="543">
        <v>1</v>
      </c>
      <c r="G24" s="543" t="s">
        <v>940</v>
      </c>
      <c r="H24" s="543" t="s">
        <v>940</v>
      </c>
      <c r="I24" s="31" t="str">
        <f t="shared" si="1"/>
        <v>Cond4</v>
      </c>
    </row>
    <row r="25" spans="1:9" ht="15" customHeight="1" x14ac:dyDescent="0.2">
      <c r="A25" s="88" t="str">
        <f>'G-1 All Habitats'!B24</f>
        <v>Grassland - Upland calcareous grassland</v>
      </c>
      <c r="B25" s="543">
        <v>3</v>
      </c>
      <c r="C25" s="543">
        <v>2.5</v>
      </c>
      <c r="D25" s="543">
        <v>2</v>
      </c>
      <c r="E25" s="543">
        <v>1.5</v>
      </c>
      <c r="F25" s="543">
        <v>1</v>
      </c>
      <c r="G25" s="543" t="s">
        <v>940</v>
      </c>
      <c r="H25" s="543" t="s">
        <v>940</v>
      </c>
      <c r="I25" s="31" t="str">
        <f t="shared" si="1"/>
        <v>Cond4</v>
      </c>
    </row>
    <row r="26" spans="1:9" ht="15" customHeight="1" x14ac:dyDescent="0.2">
      <c r="A26" s="88" t="str">
        <f>'G-1 All Habitats'!B25</f>
        <v>Grassland - Upland hay meadows</v>
      </c>
      <c r="B26" s="543">
        <v>3</v>
      </c>
      <c r="C26" s="543">
        <v>2.5</v>
      </c>
      <c r="D26" s="543">
        <v>2</v>
      </c>
      <c r="E26" s="543">
        <v>1.5</v>
      </c>
      <c r="F26" s="543">
        <v>1</v>
      </c>
      <c r="G26" s="543" t="s">
        <v>940</v>
      </c>
      <c r="H26" s="543" t="s">
        <v>940</v>
      </c>
      <c r="I26" s="31" t="str">
        <f t="shared" si="1"/>
        <v>Cond4</v>
      </c>
    </row>
    <row r="27" spans="1:9" ht="14.25" x14ac:dyDescent="0.2">
      <c r="A27" s="88" t="str">
        <f>'G-1 All Habitats'!B26</f>
        <v>Heathland and shrub - Blackthorn scrub</v>
      </c>
      <c r="B27" s="543">
        <v>3</v>
      </c>
      <c r="C27" s="543">
        <v>2.5</v>
      </c>
      <c r="D27" s="543">
        <v>2</v>
      </c>
      <c r="E27" s="543">
        <v>1.5</v>
      </c>
      <c r="F27" s="543">
        <v>1</v>
      </c>
      <c r="G27" s="543" t="s">
        <v>940</v>
      </c>
      <c r="H27" s="543" t="s">
        <v>940</v>
      </c>
      <c r="I27" s="31" t="str">
        <f t="shared" si="1"/>
        <v>Cond4</v>
      </c>
    </row>
    <row r="28" spans="1:9" ht="14.25" x14ac:dyDescent="0.2">
      <c r="A28" s="88" t="str">
        <f>'G-1 All Habitats'!B27</f>
        <v>Heathland and shrub - Bramble scrub</v>
      </c>
      <c r="B28" s="543" t="s">
        <v>940</v>
      </c>
      <c r="C28" s="543" t="s">
        <v>940</v>
      </c>
      <c r="D28" s="543" t="s">
        <v>940</v>
      </c>
      <c r="E28" s="543" t="s">
        <v>940</v>
      </c>
      <c r="F28" s="543" t="s">
        <v>940</v>
      </c>
      <c r="G28" s="543">
        <v>1</v>
      </c>
      <c r="H28" s="543" t="s">
        <v>940</v>
      </c>
      <c r="I28" s="31" t="str">
        <f t="shared" si="1"/>
        <v>Cond1</v>
      </c>
    </row>
    <row r="29" spans="1:9" ht="14.25" x14ac:dyDescent="0.2">
      <c r="A29" s="88" t="str">
        <f>'G-1 All Habitats'!B28</f>
        <v>Heathland and shrub - Gorse scrub</v>
      </c>
      <c r="B29" s="543">
        <v>3</v>
      </c>
      <c r="C29" s="543">
        <v>2.5</v>
      </c>
      <c r="D29" s="543">
        <v>2</v>
      </c>
      <c r="E29" s="543">
        <v>1.5</v>
      </c>
      <c r="F29" s="543">
        <v>1</v>
      </c>
      <c r="G29" s="543" t="s">
        <v>940</v>
      </c>
      <c r="H29" s="543" t="s">
        <v>940</v>
      </c>
      <c r="I29" s="31" t="str">
        <f t="shared" si="1"/>
        <v>Cond4</v>
      </c>
    </row>
    <row r="30" spans="1:9" ht="14.25" x14ac:dyDescent="0.2">
      <c r="A30" s="88" t="str">
        <f>'G-1 All Habitats'!B29</f>
        <v>Heathland and shrub - Hawthorn scrub</v>
      </c>
      <c r="B30" s="543">
        <v>3</v>
      </c>
      <c r="C30" s="543">
        <v>2.5</v>
      </c>
      <c r="D30" s="543">
        <v>2</v>
      </c>
      <c r="E30" s="543">
        <v>1.5</v>
      </c>
      <c r="F30" s="543">
        <v>1</v>
      </c>
      <c r="G30" s="543" t="s">
        <v>940</v>
      </c>
      <c r="H30" s="543" t="s">
        <v>940</v>
      </c>
      <c r="I30" s="31" t="str">
        <f t="shared" si="1"/>
        <v>Cond4</v>
      </c>
    </row>
    <row r="31" spans="1:9" ht="14.25" x14ac:dyDescent="0.2">
      <c r="A31" s="88" t="str">
        <f>'G-1 All Habitats'!B30</f>
        <v>Heathland and shrub - Hazel scrub</v>
      </c>
      <c r="B31" s="543">
        <v>3</v>
      </c>
      <c r="C31" s="543">
        <v>2.5</v>
      </c>
      <c r="D31" s="543">
        <v>2</v>
      </c>
      <c r="E31" s="543">
        <v>1.5</v>
      </c>
      <c r="F31" s="543">
        <v>1</v>
      </c>
      <c r="G31" s="543" t="s">
        <v>940</v>
      </c>
      <c r="H31" s="543" t="s">
        <v>940</v>
      </c>
      <c r="I31" s="31" t="str">
        <f t="shared" si="1"/>
        <v>Cond4</v>
      </c>
    </row>
    <row r="32" spans="1:9" ht="14.25" x14ac:dyDescent="0.2">
      <c r="A32" s="88" t="str">
        <f>'G-1 All Habitats'!B31</f>
        <v>Heathland and shrub - Lowland Heathland</v>
      </c>
      <c r="B32" s="543">
        <v>3</v>
      </c>
      <c r="C32" s="543">
        <v>2.5</v>
      </c>
      <c r="D32" s="543">
        <v>2</v>
      </c>
      <c r="E32" s="543">
        <v>1.5</v>
      </c>
      <c r="F32" s="543">
        <v>1</v>
      </c>
      <c r="G32" s="543" t="s">
        <v>940</v>
      </c>
      <c r="H32" s="543" t="s">
        <v>940</v>
      </c>
      <c r="I32" s="31" t="str">
        <f t="shared" si="1"/>
        <v>Cond4</v>
      </c>
    </row>
    <row r="33" spans="1:9" ht="14.25" x14ac:dyDescent="0.2">
      <c r="A33" s="88" t="str">
        <f>'G-1 All Habitats'!B32</f>
        <v>Heathland and shrub - Mixed scrub</v>
      </c>
      <c r="B33" s="543">
        <v>3</v>
      </c>
      <c r="C33" s="543">
        <v>2.5</v>
      </c>
      <c r="D33" s="543">
        <v>2</v>
      </c>
      <c r="E33" s="543">
        <v>1.5</v>
      </c>
      <c r="F33" s="543">
        <v>1</v>
      </c>
      <c r="G33" s="543" t="s">
        <v>940</v>
      </c>
      <c r="H33" s="543" t="s">
        <v>940</v>
      </c>
      <c r="I33" s="31" t="str">
        <f t="shared" si="1"/>
        <v>Cond4</v>
      </c>
    </row>
    <row r="34" spans="1:9" ht="14.25" x14ac:dyDescent="0.2">
      <c r="A34" s="88" t="str">
        <f>'G-1 All Habitats'!B33</f>
        <v>Heathland and shrub - Mountain heaths and willow scrub</v>
      </c>
      <c r="B34" s="543">
        <v>3</v>
      </c>
      <c r="C34" s="543">
        <v>2.5</v>
      </c>
      <c r="D34" s="543">
        <v>2</v>
      </c>
      <c r="E34" s="543">
        <v>1.5</v>
      </c>
      <c r="F34" s="543">
        <v>1</v>
      </c>
      <c r="G34" s="543" t="s">
        <v>940</v>
      </c>
      <c r="H34" s="543" t="s">
        <v>940</v>
      </c>
      <c r="I34" s="31" t="str">
        <f t="shared" si="1"/>
        <v>Cond4</v>
      </c>
    </row>
    <row r="35" spans="1:9" ht="14.25" x14ac:dyDescent="0.2">
      <c r="A35" s="88" t="str">
        <f>'G-1 All Habitats'!B34</f>
        <v>Heathland and shrub - Rhododendron scrub</v>
      </c>
      <c r="B35" s="543" t="s">
        <v>940</v>
      </c>
      <c r="C35" s="543" t="s">
        <v>940</v>
      </c>
      <c r="D35" s="543" t="s">
        <v>940</v>
      </c>
      <c r="E35" s="543" t="s">
        <v>940</v>
      </c>
      <c r="F35" s="543" t="s">
        <v>940</v>
      </c>
      <c r="G35" s="543">
        <v>1</v>
      </c>
      <c r="H35" s="543" t="s">
        <v>940</v>
      </c>
      <c r="I35" s="31" t="str">
        <f t="shared" si="1"/>
        <v>Cond1</v>
      </c>
    </row>
    <row r="36" spans="1:9" ht="14.25" x14ac:dyDescent="0.2">
      <c r="A36" s="88" t="str">
        <f>'G-1 All Habitats'!B35</f>
        <v>Heathland and shrub - Sea buckthorn scrub (Annex 1)</v>
      </c>
      <c r="B36" s="543">
        <v>3</v>
      </c>
      <c r="C36" s="543">
        <v>2.5</v>
      </c>
      <c r="D36" s="543">
        <v>2</v>
      </c>
      <c r="E36" s="543">
        <v>1.5</v>
      </c>
      <c r="F36" s="543">
        <v>1</v>
      </c>
      <c r="G36" s="543" t="s">
        <v>940</v>
      </c>
      <c r="H36" s="543" t="s">
        <v>940</v>
      </c>
      <c r="I36" s="31" t="str">
        <f t="shared" si="1"/>
        <v>Cond4</v>
      </c>
    </row>
    <row r="37" spans="1:9" ht="14.25" x14ac:dyDescent="0.2">
      <c r="A37" s="88" t="str">
        <f>'G-1 All Habitats'!B36</f>
        <v>Heathland and shrub - Sea buckthorn scrub (other)</v>
      </c>
      <c r="B37" s="543" t="s">
        <v>940</v>
      </c>
      <c r="C37" s="543" t="s">
        <v>940</v>
      </c>
      <c r="D37" s="543" t="s">
        <v>940</v>
      </c>
      <c r="E37" s="543" t="s">
        <v>940</v>
      </c>
      <c r="F37" s="543" t="s">
        <v>940</v>
      </c>
      <c r="G37" s="543">
        <v>1</v>
      </c>
      <c r="H37" s="543" t="s">
        <v>940</v>
      </c>
      <c r="I37" s="31" t="str">
        <f t="shared" si="1"/>
        <v>Cond1</v>
      </c>
    </row>
    <row r="38" spans="1:9" ht="14.25" x14ac:dyDescent="0.2">
      <c r="A38" s="88" t="str">
        <f>'G-1 All Habitats'!B37</f>
        <v>Heathland and shrub - Upland Heathland</v>
      </c>
      <c r="B38" s="543">
        <v>3</v>
      </c>
      <c r="C38" s="543">
        <v>2.5</v>
      </c>
      <c r="D38" s="543">
        <v>2</v>
      </c>
      <c r="E38" s="543">
        <v>1.5</v>
      </c>
      <c r="F38" s="543">
        <v>1</v>
      </c>
      <c r="G38" s="543" t="s">
        <v>940</v>
      </c>
      <c r="H38" s="543" t="s">
        <v>940</v>
      </c>
      <c r="I38" s="31" t="str">
        <f t="shared" si="1"/>
        <v>Cond4</v>
      </c>
    </row>
    <row r="39" spans="1:9" ht="14.25" x14ac:dyDescent="0.2">
      <c r="A39" s="88" t="str">
        <f>'G-1 All Habitats'!B38</f>
        <v>Lakes - Aquifer fed naturally fluctuating water bodies</v>
      </c>
      <c r="B39" s="543">
        <v>3</v>
      </c>
      <c r="C39" s="543">
        <v>2.5</v>
      </c>
      <c r="D39" s="543">
        <v>2</v>
      </c>
      <c r="E39" s="543">
        <v>1.5</v>
      </c>
      <c r="F39" s="543">
        <v>1</v>
      </c>
      <c r="G39" s="543" t="s">
        <v>940</v>
      </c>
      <c r="H39" s="543" t="s">
        <v>940</v>
      </c>
      <c r="I39" s="31" t="str">
        <f t="shared" si="1"/>
        <v>Cond4</v>
      </c>
    </row>
    <row r="40" spans="1:9" ht="14.25" x14ac:dyDescent="0.2">
      <c r="A40" s="88" t="str">
        <f>'G-1 All Habitats'!B40</f>
        <v>Lakes - High alkalinity lakes</v>
      </c>
      <c r="B40" s="543">
        <v>3</v>
      </c>
      <c r="C40" s="543">
        <v>2.5</v>
      </c>
      <c r="D40" s="543">
        <v>2</v>
      </c>
      <c r="E40" s="543">
        <v>1.5</v>
      </c>
      <c r="F40" s="543">
        <v>1</v>
      </c>
      <c r="G40" s="543" t="s">
        <v>940</v>
      </c>
      <c r="H40" s="543" t="s">
        <v>940</v>
      </c>
      <c r="I40" s="31" t="str">
        <f t="shared" si="1"/>
        <v>Cond4</v>
      </c>
    </row>
    <row r="41" spans="1:9" ht="14.25" x14ac:dyDescent="0.2">
      <c r="A41" s="88" t="str">
        <f>'G-1 All Habitats'!B41</f>
        <v>Lakes - Low alkalinity lakes</v>
      </c>
      <c r="B41" s="543">
        <v>3</v>
      </c>
      <c r="C41" s="543">
        <v>2.5</v>
      </c>
      <c r="D41" s="543">
        <v>2</v>
      </c>
      <c r="E41" s="543">
        <v>1.5</v>
      </c>
      <c r="F41" s="543">
        <v>1</v>
      </c>
      <c r="G41" s="543" t="s">
        <v>940</v>
      </c>
      <c r="H41" s="543" t="s">
        <v>940</v>
      </c>
      <c r="I41" s="31" t="str">
        <f t="shared" ref="I41:I72" si="2">IF(G41=1,"Cond1",IF(H41=0,"Cond2",IF(AND(B41=3,C41=2.5,D41=2,E41=1.5,F41=1),"Cond4",IF(F41=1,"Cond3","Check"))))</f>
        <v>Cond4</v>
      </c>
    </row>
    <row r="42" spans="1:9" ht="14.25" x14ac:dyDescent="0.2">
      <c r="A42" s="88" t="str">
        <f>'G-1 All Habitats'!B42</f>
        <v>Lakes - Marl Lakes</v>
      </c>
      <c r="B42" s="543">
        <v>3</v>
      </c>
      <c r="C42" s="543">
        <v>2.5</v>
      </c>
      <c r="D42" s="543">
        <v>2</v>
      </c>
      <c r="E42" s="543">
        <v>1.5</v>
      </c>
      <c r="F42" s="543">
        <v>1</v>
      </c>
      <c r="G42" s="543" t="s">
        <v>940</v>
      </c>
      <c r="H42" s="543" t="s">
        <v>940</v>
      </c>
      <c r="I42" s="31" t="str">
        <f t="shared" si="2"/>
        <v>Cond4</v>
      </c>
    </row>
    <row r="43" spans="1:9" ht="14.25" x14ac:dyDescent="0.2">
      <c r="A43" s="88" t="str">
        <f>'G-1 All Habitats'!B43</f>
        <v>Lakes - Moderate alkalinity lakes</v>
      </c>
      <c r="B43" s="543">
        <v>3</v>
      </c>
      <c r="C43" s="543">
        <v>2.5</v>
      </c>
      <c r="D43" s="543">
        <v>2</v>
      </c>
      <c r="E43" s="543">
        <v>1.5</v>
      </c>
      <c r="F43" s="543">
        <v>1</v>
      </c>
      <c r="G43" s="543" t="s">
        <v>940</v>
      </c>
      <c r="H43" s="543" t="s">
        <v>940</v>
      </c>
      <c r="I43" s="31" t="str">
        <f t="shared" si="2"/>
        <v>Cond4</v>
      </c>
    </row>
    <row r="44" spans="1:9" ht="14.25" x14ac:dyDescent="0.2">
      <c r="A44" s="88" t="str">
        <f>'G-1 All Habitats'!B44</f>
        <v>Lakes - Peat Lakes</v>
      </c>
      <c r="B44" s="543">
        <v>3</v>
      </c>
      <c r="C44" s="543">
        <v>2.5</v>
      </c>
      <c r="D44" s="543">
        <v>2</v>
      </c>
      <c r="E44" s="543">
        <v>1.5</v>
      </c>
      <c r="F44" s="543">
        <v>1</v>
      </c>
      <c r="G44" s="543" t="s">
        <v>940</v>
      </c>
      <c r="H44" s="543" t="s">
        <v>940</v>
      </c>
      <c r="I44" s="31" t="str">
        <f t="shared" si="2"/>
        <v>Cond4</v>
      </c>
    </row>
    <row r="45" spans="1:9" ht="14.25" x14ac:dyDescent="0.2">
      <c r="A45" s="88" t="str">
        <f>'G-1 All Habitats'!B45</f>
        <v>Lakes - Ponds (Priority Habitat)</v>
      </c>
      <c r="B45" s="543">
        <v>3</v>
      </c>
      <c r="C45" s="543">
        <v>2.5</v>
      </c>
      <c r="D45" s="543">
        <v>2</v>
      </c>
      <c r="E45" s="543">
        <v>1.5</v>
      </c>
      <c r="F45" s="543">
        <v>1</v>
      </c>
      <c r="G45" s="543" t="s">
        <v>940</v>
      </c>
      <c r="H45" s="543" t="s">
        <v>940</v>
      </c>
      <c r="I45" s="31" t="str">
        <f t="shared" si="2"/>
        <v>Cond4</v>
      </c>
    </row>
    <row r="46" spans="1:9" ht="14.25" x14ac:dyDescent="0.2">
      <c r="A46" s="88" t="str">
        <f>'G-1 All Habitats'!B46</f>
        <v>Lakes - Ponds (Non- Priority Habitat)</v>
      </c>
      <c r="B46" s="543">
        <v>3</v>
      </c>
      <c r="C46" s="543">
        <v>2.5</v>
      </c>
      <c r="D46" s="543">
        <v>2</v>
      </c>
      <c r="E46" s="543">
        <v>1.5</v>
      </c>
      <c r="F46" s="543">
        <v>1</v>
      </c>
      <c r="G46" s="543" t="s">
        <v>940</v>
      </c>
      <c r="H46" s="543" t="s">
        <v>940</v>
      </c>
      <c r="I46" s="31" t="str">
        <f t="shared" si="2"/>
        <v>Cond4</v>
      </c>
    </row>
    <row r="47" spans="1:9" ht="14.25" x14ac:dyDescent="0.2">
      <c r="A47" s="88" t="str">
        <f>'G-1 All Habitats'!B47</f>
        <v>Lakes - Reservoirs</v>
      </c>
      <c r="B47" s="543">
        <v>3</v>
      </c>
      <c r="C47" s="543">
        <v>2.5</v>
      </c>
      <c r="D47" s="543">
        <v>2</v>
      </c>
      <c r="E47" s="543">
        <v>1.5</v>
      </c>
      <c r="F47" s="543">
        <v>1</v>
      </c>
      <c r="G47" s="543" t="s">
        <v>940</v>
      </c>
      <c r="H47" s="543" t="s">
        <v>940</v>
      </c>
      <c r="I47" s="31" t="str">
        <f t="shared" si="2"/>
        <v>Cond4</v>
      </c>
    </row>
    <row r="48" spans="1:9" ht="14.25" x14ac:dyDescent="0.2">
      <c r="A48" s="88" t="str">
        <f>'G-1 All Habitats'!B48</f>
        <v>Lakes - Temporary lakes, ponds and pools</v>
      </c>
      <c r="B48" s="543">
        <v>3</v>
      </c>
      <c r="C48" s="543">
        <v>2.5</v>
      </c>
      <c r="D48" s="543">
        <v>2</v>
      </c>
      <c r="E48" s="543">
        <v>1.5</v>
      </c>
      <c r="F48" s="543">
        <v>1</v>
      </c>
      <c r="G48" s="543" t="s">
        <v>940</v>
      </c>
      <c r="H48" s="543" t="s">
        <v>940</v>
      </c>
      <c r="I48" s="31" t="str">
        <f t="shared" si="2"/>
        <v>Cond4</v>
      </c>
    </row>
    <row r="49" spans="1:9" ht="14.25" x14ac:dyDescent="0.2">
      <c r="A49" s="88" t="str">
        <f>'G-1 All Habitats'!B49</f>
        <v>Sparsely vegetated land - Calaminarian grasslands</v>
      </c>
      <c r="B49" s="543">
        <v>3</v>
      </c>
      <c r="C49" s="543">
        <v>2.5</v>
      </c>
      <c r="D49" s="543">
        <v>2</v>
      </c>
      <c r="E49" s="543">
        <v>1.5</v>
      </c>
      <c r="F49" s="543">
        <v>1</v>
      </c>
      <c r="G49" s="543" t="s">
        <v>940</v>
      </c>
      <c r="H49" s="543" t="s">
        <v>940</v>
      </c>
      <c r="I49" s="31" t="str">
        <f t="shared" si="2"/>
        <v>Cond4</v>
      </c>
    </row>
    <row r="50" spans="1:9" ht="14.25" x14ac:dyDescent="0.2">
      <c r="A50" s="88" t="str">
        <f>'G-1 All Habitats'!B50</f>
        <v>Sparsely vegetated land - Coastal sand dunes</v>
      </c>
      <c r="B50" s="543">
        <v>3</v>
      </c>
      <c r="C50" s="543">
        <v>2.5</v>
      </c>
      <c r="D50" s="543">
        <v>2</v>
      </c>
      <c r="E50" s="543">
        <v>1.5</v>
      </c>
      <c r="F50" s="543">
        <v>1</v>
      </c>
      <c r="G50" s="543" t="s">
        <v>940</v>
      </c>
      <c r="H50" s="543" t="s">
        <v>940</v>
      </c>
      <c r="I50" s="31" t="str">
        <f t="shared" si="2"/>
        <v>Cond4</v>
      </c>
    </row>
    <row r="51" spans="1:9" ht="14.25" x14ac:dyDescent="0.2">
      <c r="A51" s="88" t="str">
        <f>'G-1 All Habitats'!B51</f>
        <v>Sparsely vegetated land - Coastal vegetated shingle</v>
      </c>
      <c r="B51" s="543">
        <v>3</v>
      </c>
      <c r="C51" s="543">
        <v>2.5</v>
      </c>
      <c r="D51" s="543">
        <v>2</v>
      </c>
      <c r="E51" s="543">
        <v>1.5</v>
      </c>
      <c r="F51" s="543">
        <v>1</v>
      </c>
      <c r="G51" s="543" t="s">
        <v>940</v>
      </c>
      <c r="H51" s="543" t="s">
        <v>940</v>
      </c>
      <c r="I51" s="31" t="str">
        <f t="shared" si="2"/>
        <v>Cond4</v>
      </c>
    </row>
    <row r="52" spans="1:9" ht="14.25" x14ac:dyDescent="0.2">
      <c r="A52" s="88" t="str">
        <f>'G-1 All Habitats'!B52</f>
        <v>Sparsely vegetated land - Ruderal/Ephemeral</v>
      </c>
      <c r="B52" s="543">
        <v>3</v>
      </c>
      <c r="C52" s="543">
        <v>2.5</v>
      </c>
      <c r="D52" s="543">
        <v>2</v>
      </c>
      <c r="E52" s="543">
        <v>1.5</v>
      </c>
      <c r="F52" s="543">
        <v>1</v>
      </c>
      <c r="G52" s="543" t="s">
        <v>940</v>
      </c>
      <c r="H52" s="543" t="s">
        <v>940</v>
      </c>
      <c r="I52" s="31" t="str">
        <f t="shared" si="2"/>
        <v>Cond4</v>
      </c>
    </row>
    <row r="53" spans="1:9" ht="14.25" x14ac:dyDescent="0.2">
      <c r="A53" s="88" t="str">
        <f>'G-1 All Habitats'!B53</f>
        <v>Sparsely vegetated land - Inland rock outcrop and scree habitats</v>
      </c>
      <c r="B53" s="543">
        <v>3</v>
      </c>
      <c r="C53" s="543">
        <v>2.5</v>
      </c>
      <c r="D53" s="543">
        <v>2</v>
      </c>
      <c r="E53" s="543">
        <v>1.5</v>
      </c>
      <c r="F53" s="543">
        <v>1</v>
      </c>
      <c r="G53" s="543" t="s">
        <v>940</v>
      </c>
      <c r="H53" s="543" t="s">
        <v>940</v>
      </c>
      <c r="I53" s="31" t="str">
        <f t="shared" si="2"/>
        <v>Cond4</v>
      </c>
    </row>
    <row r="54" spans="1:9" ht="14.25" x14ac:dyDescent="0.2">
      <c r="A54" s="88" t="str">
        <f>'G-1 All Habitats'!B54</f>
        <v>Sparsely vegetated land - Limestone pavement</v>
      </c>
      <c r="B54" s="543">
        <v>3</v>
      </c>
      <c r="C54" s="543">
        <v>2.5</v>
      </c>
      <c r="D54" s="543">
        <v>2</v>
      </c>
      <c r="E54" s="543">
        <v>1.5</v>
      </c>
      <c r="F54" s="543">
        <v>1</v>
      </c>
      <c r="G54" s="543" t="s">
        <v>940</v>
      </c>
      <c r="H54" s="543" t="s">
        <v>940</v>
      </c>
      <c r="I54" s="31" t="str">
        <f t="shared" si="2"/>
        <v>Cond4</v>
      </c>
    </row>
    <row r="55" spans="1:9" ht="14.25" x14ac:dyDescent="0.2">
      <c r="A55" s="88" t="str">
        <f>'G-1 All Habitats'!B55</f>
        <v>Sparsely vegetated land - Maritime cliff and slopes</v>
      </c>
      <c r="B55" s="543">
        <v>3</v>
      </c>
      <c r="C55" s="543">
        <v>2.5</v>
      </c>
      <c r="D55" s="543">
        <v>2</v>
      </c>
      <c r="E55" s="543">
        <v>1.5</v>
      </c>
      <c r="F55" s="543">
        <v>1</v>
      </c>
      <c r="G55" s="543" t="s">
        <v>940</v>
      </c>
      <c r="H55" s="543" t="s">
        <v>940</v>
      </c>
      <c r="I55" s="31" t="str">
        <f t="shared" si="2"/>
        <v>Cond4</v>
      </c>
    </row>
    <row r="56" spans="1:9" ht="14.25" x14ac:dyDescent="0.2">
      <c r="A56" s="88" t="str">
        <f>'G-1 All Habitats'!B56</f>
        <v>Sparsely vegetated land - Other inland rock and scree</v>
      </c>
      <c r="B56" s="543">
        <v>3</v>
      </c>
      <c r="C56" s="543">
        <v>2.5</v>
      </c>
      <c r="D56" s="543">
        <v>2</v>
      </c>
      <c r="E56" s="543">
        <v>1.5</v>
      </c>
      <c r="F56" s="543">
        <v>1</v>
      </c>
      <c r="G56" s="543" t="s">
        <v>940</v>
      </c>
      <c r="H56" s="543" t="s">
        <v>940</v>
      </c>
      <c r="I56" s="31" t="str">
        <f t="shared" si="2"/>
        <v>Cond4</v>
      </c>
    </row>
    <row r="57" spans="1:9" ht="14.25" x14ac:dyDescent="0.2">
      <c r="A57" s="88" t="str">
        <f>'G-1 All Habitats'!B57</f>
        <v>Urban - Allotments</v>
      </c>
      <c r="B57" s="543">
        <v>3</v>
      </c>
      <c r="C57" s="543">
        <v>2.5</v>
      </c>
      <c r="D57" s="543">
        <v>2</v>
      </c>
      <c r="E57" s="543">
        <v>1.5</v>
      </c>
      <c r="F57" s="543">
        <v>1</v>
      </c>
      <c r="G57" s="543" t="s">
        <v>940</v>
      </c>
      <c r="H57" s="543" t="s">
        <v>940</v>
      </c>
      <c r="I57" s="31" t="str">
        <f t="shared" si="2"/>
        <v>Cond4</v>
      </c>
    </row>
    <row r="58" spans="1:9" ht="14.25" x14ac:dyDescent="0.2">
      <c r="A58" s="88" t="str">
        <f>'G-1 All Habitats'!B39</f>
        <v>Lakes - Ornamental lake or pond</v>
      </c>
      <c r="B58" s="543">
        <v>3</v>
      </c>
      <c r="C58" s="543">
        <v>2.5</v>
      </c>
      <c r="D58" s="543">
        <v>2</v>
      </c>
      <c r="E58" s="543">
        <v>1.5</v>
      </c>
      <c r="F58" s="543">
        <v>1</v>
      </c>
      <c r="G58" s="543" t="s">
        <v>940</v>
      </c>
      <c r="H58" s="543" t="s">
        <v>940</v>
      </c>
      <c r="I58" s="31" t="str">
        <f t="shared" si="2"/>
        <v>Cond4</v>
      </c>
    </row>
    <row r="59" spans="1:9" ht="14.25" x14ac:dyDescent="0.2">
      <c r="A59" s="88" t="str">
        <f>'G-1 All Habitats'!B58</f>
        <v>Urban - Artificial unvegetated, unsealed surface</v>
      </c>
      <c r="B59" s="543" t="s">
        <v>940</v>
      </c>
      <c r="C59" s="543" t="s">
        <v>940</v>
      </c>
      <c r="D59" s="543" t="s">
        <v>940</v>
      </c>
      <c r="E59" s="543" t="s">
        <v>940</v>
      </c>
      <c r="F59" s="543" t="s">
        <v>940</v>
      </c>
      <c r="G59" s="543" t="s">
        <v>940</v>
      </c>
      <c r="H59" s="592">
        <v>0</v>
      </c>
      <c r="I59" s="31" t="str">
        <f t="shared" si="2"/>
        <v>Cond2</v>
      </c>
    </row>
    <row r="60" spans="1:9" ht="14.25" x14ac:dyDescent="0.2">
      <c r="A60" s="88" t="str">
        <f>'G-1 All Habitats'!B59</f>
        <v>Urban - Bioswale</v>
      </c>
      <c r="B60" s="543">
        <v>3</v>
      </c>
      <c r="C60" s="543">
        <v>2.5</v>
      </c>
      <c r="D60" s="543">
        <v>2</v>
      </c>
      <c r="E60" s="543">
        <v>1.5</v>
      </c>
      <c r="F60" s="543">
        <v>1</v>
      </c>
      <c r="G60" s="543" t="s">
        <v>940</v>
      </c>
      <c r="H60" s="543" t="s">
        <v>940</v>
      </c>
      <c r="I60" s="31" t="str">
        <f t="shared" si="2"/>
        <v>Cond4</v>
      </c>
    </row>
    <row r="61" spans="1:9" ht="14.25" x14ac:dyDescent="0.2">
      <c r="A61" s="88" t="str">
        <f>'G-1 All Habitats'!B60</f>
        <v>Urban - Intensive green roof</v>
      </c>
      <c r="B61" s="543">
        <v>3</v>
      </c>
      <c r="C61" s="543">
        <v>2.5</v>
      </c>
      <c r="D61" s="543">
        <v>2</v>
      </c>
      <c r="E61" s="543">
        <v>1.5</v>
      </c>
      <c r="F61" s="543">
        <v>1</v>
      </c>
      <c r="G61" s="543" t="s">
        <v>940</v>
      </c>
      <c r="H61" s="543" t="s">
        <v>940</v>
      </c>
      <c r="I61" s="31" t="str">
        <f t="shared" si="2"/>
        <v>Cond4</v>
      </c>
    </row>
    <row r="62" spans="1:9" ht="14.25" x14ac:dyDescent="0.2">
      <c r="A62" s="88" t="str">
        <f>'G-1 All Habitats'!B61</f>
        <v>Urban - Built linear features</v>
      </c>
      <c r="B62" s="543" t="s">
        <v>940</v>
      </c>
      <c r="C62" s="543" t="s">
        <v>940</v>
      </c>
      <c r="D62" s="543" t="s">
        <v>940</v>
      </c>
      <c r="E62" s="543" t="s">
        <v>940</v>
      </c>
      <c r="F62" s="543" t="s">
        <v>940</v>
      </c>
      <c r="G62" s="543" t="s">
        <v>940</v>
      </c>
      <c r="H62" s="592">
        <v>0</v>
      </c>
      <c r="I62" s="31" t="str">
        <f t="shared" si="2"/>
        <v>Cond2</v>
      </c>
    </row>
    <row r="63" spans="1:9" ht="14.25" x14ac:dyDescent="0.2">
      <c r="A63" s="88" t="str">
        <f>'G-1 All Habitats'!B62</f>
        <v>Urban - Cemeteries and churchyards</v>
      </c>
      <c r="B63" s="543">
        <v>3</v>
      </c>
      <c r="C63" s="543">
        <v>2.5</v>
      </c>
      <c r="D63" s="543">
        <v>2</v>
      </c>
      <c r="E63" s="543">
        <v>1.5</v>
      </c>
      <c r="F63" s="543">
        <v>1</v>
      </c>
      <c r="G63" s="543" t="s">
        <v>940</v>
      </c>
      <c r="H63" s="543" t="s">
        <v>940</v>
      </c>
      <c r="I63" s="31" t="str">
        <f t="shared" si="2"/>
        <v>Cond4</v>
      </c>
    </row>
    <row r="64" spans="1:9" ht="14.25" x14ac:dyDescent="0.2">
      <c r="A64" s="88" t="str">
        <f>'G-1 All Habitats'!B63</f>
        <v>Urban - Developed land; sealed surface</v>
      </c>
      <c r="B64" s="543" t="s">
        <v>940</v>
      </c>
      <c r="C64" s="543" t="s">
        <v>940</v>
      </c>
      <c r="D64" s="543" t="s">
        <v>940</v>
      </c>
      <c r="E64" s="543" t="s">
        <v>940</v>
      </c>
      <c r="F64" s="543" t="s">
        <v>940</v>
      </c>
      <c r="G64" s="543" t="s">
        <v>940</v>
      </c>
      <c r="H64" s="592">
        <v>0</v>
      </c>
      <c r="I64" s="31" t="str">
        <f t="shared" si="2"/>
        <v>Cond2</v>
      </c>
    </row>
    <row r="65" spans="1:9" ht="14.25" x14ac:dyDescent="0.2">
      <c r="A65" s="88" t="str">
        <f>'G-1 All Habitats'!B64</f>
        <v>Urban - Other green roof</v>
      </c>
      <c r="B65" s="543" t="s">
        <v>940</v>
      </c>
      <c r="C65" s="543" t="s">
        <v>940</v>
      </c>
      <c r="D65" s="543" t="s">
        <v>940</v>
      </c>
      <c r="E65" s="543" t="s">
        <v>940</v>
      </c>
      <c r="F65" s="543" t="s">
        <v>940</v>
      </c>
      <c r="G65" s="543">
        <v>1</v>
      </c>
      <c r="H65" s="543" t="s">
        <v>940</v>
      </c>
      <c r="I65" s="31" t="str">
        <f t="shared" si="2"/>
        <v>Cond1</v>
      </c>
    </row>
    <row r="66" spans="1:9" ht="14.25" x14ac:dyDescent="0.2">
      <c r="A66" s="88" t="str">
        <f>'G-1 All Habitats'!B65</f>
        <v>Urban - Facade-bound green wall</v>
      </c>
      <c r="B66" s="543">
        <v>3</v>
      </c>
      <c r="C66" s="543">
        <v>2.5</v>
      </c>
      <c r="D66" s="543">
        <v>2</v>
      </c>
      <c r="E66" s="543">
        <v>1.5</v>
      </c>
      <c r="F66" s="543">
        <v>1</v>
      </c>
      <c r="G66" s="543" t="s">
        <v>940</v>
      </c>
      <c r="H66" s="543" t="s">
        <v>940</v>
      </c>
      <c r="I66" s="31" t="str">
        <f t="shared" si="2"/>
        <v>Cond4</v>
      </c>
    </row>
    <row r="67" spans="1:9" ht="14.25" x14ac:dyDescent="0.2">
      <c r="A67" s="88" t="str">
        <f>'G-1 All Habitats'!B66</f>
        <v>Urban - Ground based green wall</v>
      </c>
      <c r="B67" s="543">
        <v>3</v>
      </c>
      <c r="C67" s="543">
        <v>2.5</v>
      </c>
      <c r="D67" s="543">
        <v>2</v>
      </c>
      <c r="E67" s="543">
        <v>1.5</v>
      </c>
      <c r="F67" s="543">
        <v>1</v>
      </c>
      <c r="G67" s="543" t="s">
        <v>940</v>
      </c>
      <c r="H67" s="543" t="s">
        <v>940</v>
      </c>
      <c r="I67" s="31" t="str">
        <f t="shared" si="2"/>
        <v>Cond4</v>
      </c>
    </row>
    <row r="68" spans="1:9" ht="14.25" x14ac:dyDescent="0.2">
      <c r="A68" s="88" t="str">
        <f>'G-1 All Habitats'!B67</f>
        <v>Urban - Ground level planters</v>
      </c>
      <c r="B68" s="543" t="s">
        <v>940</v>
      </c>
      <c r="C68" s="543" t="s">
        <v>940</v>
      </c>
      <c r="D68" s="543" t="s">
        <v>940</v>
      </c>
      <c r="E68" s="543" t="s">
        <v>940</v>
      </c>
      <c r="F68" s="543" t="s">
        <v>940</v>
      </c>
      <c r="G68" s="543">
        <v>1</v>
      </c>
      <c r="H68" s="543" t="s">
        <v>940</v>
      </c>
      <c r="I68" s="31" t="str">
        <f t="shared" si="2"/>
        <v>Cond1</v>
      </c>
    </row>
    <row r="69" spans="1:9" ht="14.25" x14ac:dyDescent="0.2">
      <c r="A69" s="88" t="str">
        <f>'G-1 All Habitats'!B68</f>
        <v>Urban - Biodiverse green roof</v>
      </c>
      <c r="B69" s="543">
        <v>3</v>
      </c>
      <c r="C69" s="543">
        <v>2.5</v>
      </c>
      <c r="D69" s="543">
        <v>2</v>
      </c>
      <c r="E69" s="543">
        <v>1.5</v>
      </c>
      <c r="F69" s="543">
        <v>1</v>
      </c>
      <c r="G69" s="543" t="s">
        <v>940</v>
      </c>
      <c r="H69" s="543" t="s">
        <v>940</v>
      </c>
      <c r="I69" s="31" t="str">
        <f t="shared" si="2"/>
        <v>Cond4</v>
      </c>
    </row>
    <row r="70" spans="1:9" ht="14.25" x14ac:dyDescent="0.2">
      <c r="A70" s="88" t="str">
        <f>'G-1 All Habitats'!B69</f>
        <v>Urban - Introduced shrub</v>
      </c>
      <c r="B70" s="543" t="s">
        <v>940</v>
      </c>
      <c r="C70" s="543" t="s">
        <v>940</v>
      </c>
      <c r="D70" s="543" t="s">
        <v>940</v>
      </c>
      <c r="E70" s="543" t="s">
        <v>940</v>
      </c>
      <c r="F70" s="543" t="s">
        <v>940</v>
      </c>
      <c r="G70" s="543">
        <v>1</v>
      </c>
      <c r="H70" s="543" t="s">
        <v>940</v>
      </c>
      <c r="I70" s="31" t="str">
        <f t="shared" si="2"/>
        <v>Cond1</v>
      </c>
    </row>
    <row r="71" spans="1:9" ht="14.25" x14ac:dyDescent="0.2">
      <c r="A71" s="88" t="str">
        <f>'G-1 All Habitats'!B70</f>
        <v>Urban - Open Mosaic Habitats on Previously Developed Land</v>
      </c>
      <c r="B71" s="543">
        <v>3</v>
      </c>
      <c r="C71" s="543">
        <v>2.5</v>
      </c>
      <c r="D71" s="543">
        <v>2</v>
      </c>
      <c r="E71" s="543">
        <v>1.5</v>
      </c>
      <c r="F71" s="543">
        <v>1</v>
      </c>
      <c r="G71" s="543" t="s">
        <v>940</v>
      </c>
      <c r="H71" s="543" t="s">
        <v>940</v>
      </c>
      <c r="I71" s="31" t="str">
        <f t="shared" si="2"/>
        <v>Cond4</v>
      </c>
    </row>
    <row r="72" spans="1:9" ht="14.25" x14ac:dyDescent="0.2">
      <c r="A72" s="88" t="str">
        <f>'G-1 All Habitats'!B71</f>
        <v>Urban - Rain garden</v>
      </c>
      <c r="B72" s="543">
        <v>3</v>
      </c>
      <c r="C72" s="543">
        <v>2.5</v>
      </c>
      <c r="D72" s="543">
        <v>2</v>
      </c>
      <c r="E72" s="543">
        <v>1.5</v>
      </c>
      <c r="F72" s="543">
        <v>1</v>
      </c>
      <c r="G72" s="543" t="s">
        <v>940</v>
      </c>
      <c r="H72" s="543" t="s">
        <v>940</v>
      </c>
      <c r="I72" s="31" t="str">
        <f t="shared" si="2"/>
        <v>Cond4</v>
      </c>
    </row>
    <row r="73" spans="1:9" ht="14.25" x14ac:dyDescent="0.2">
      <c r="A73" s="88" t="str">
        <f>'G-1 All Habitats'!B72</f>
        <v>Urban - Actively worked sand pit quarry or open cast mine</v>
      </c>
      <c r="B73" s="543" t="s">
        <v>940</v>
      </c>
      <c r="C73" s="543" t="s">
        <v>940</v>
      </c>
      <c r="D73" s="543" t="s">
        <v>940</v>
      </c>
      <c r="E73" s="543" t="s">
        <v>940</v>
      </c>
      <c r="F73" s="543" t="s">
        <v>940</v>
      </c>
      <c r="G73" s="543">
        <v>1</v>
      </c>
      <c r="H73" s="543" t="s">
        <v>940</v>
      </c>
      <c r="I73" s="31" t="str">
        <f t="shared" ref="I73:I86" si="3">IF(G73=1,"Cond1",IF(H73=0,"Cond2",IF(AND(B73=3,C73=2.5,D73=2,E73=1.5,F73=1),"Cond4",IF(F73=1,"Cond3","Check"))))</f>
        <v>Cond1</v>
      </c>
    </row>
    <row r="74" spans="1:9" ht="14.25" x14ac:dyDescent="0.2">
      <c r="A74" s="88" t="str">
        <f>'G-1 All Habitats'!B73</f>
        <v>Urban - Urban Tree</v>
      </c>
      <c r="B74" s="543">
        <v>3</v>
      </c>
      <c r="C74" s="543">
        <v>2.5</v>
      </c>
      <c r="D74" s="543">
        <v>2</v>
      </c>
      <c r="E74" s="543">
        <v>1.5</v>
      </c>
      <c r="F74" s="543">
        <v>1</v>
      </c>
      <c r="G74" s="543" t="s">
        <v>940</v>
      </c>
      <c r="H74" s="543" t="s">
        <v>940</v>
      </c>
      <c r="I74" s="31" t="str">
        <f t="shared" si="3"/>
        <v>Cond4</v>
      </c>
    </row>
    <row r="75" spans="1:9" ht="14.25" x14ac:dyDescent="0.2">
      <c r="A75" s="88" t="str">
        <f>'G-1 All Habitats'!B74</f>
        <v>Urban - Sustainable urban drainage feature</v>
      </c>
      <c r="B75" s="543">
        <v>3</v>
      </c>
      <c r="C75" s="543">
        <v>2.5</v>
      </c>
      <c r="D75" s="543">
        <v>2</v>
      </c>
      <c r="E75" s="543">
        <v>1.5</v>
      </c>
      <c r="F75" s="543">
        <v>1</v>
      </c>
      <c r="G75" s="543" t="s">
        <v>940</v>
      </c>
      <c r="H75" s="543" t="s">
        <v>940</v>
      </c>
      <c r="I75" s="31" t="str">
        <f t="shared" si="3"/>
        <v>Cond4</v>
      </c>
    </row>
    <row r="76" spans="1:9" ht="14.25" x14ac:dyDescent="0.2">
      <c r="A76" s="88" t="str">
        <f>'G-1 All Habitats'!B75</f>
        <v>Urban - Un-vegetated garden</v>
      </c>
      <c r="B76" s="543" t="s">
        <v>940</v>
      </c>
      <c r="C76" s="543" t="s">
        <v>940</v>
      </c>
      <c r="D76" s="543" t="s">
        <v>940</v>
      </c>
      <c r="E76" s="543" t="s">
        <v>940</v>
      </c>
      <c r="F76" s="543" t="s">
        <v>940</v>
      </c>
      <c r="G76" s="543" t="s">
        <v>940</v>
      </c>
      <c r="H76" s="592">
        <v>0</v>
      </c>
      <c r="I76" s="31" t="str">
        <f t="shared" si="3"/>
        <v>Cond2</v>
      </c>
    </row>
    <row r="77" spans="1:9" ht="14.25" x14ac:dyDescent="0.2">
      <c r="A77" s="88" t="str">
        <f>'G-1 All Habitats'!B76</f>
        <v>Urban - Vacant/derelict land/ bareground</v>
      </c>
      <c r="B77" s="543">
        <v>3</v>
      </c>
      <c r="C77" s="543">
        <v>2.5</v>
      </c>
      <c r="D77" s="543">
        <v>2</v>
      </c>
      <c r="E77" s="543">
        <v>1.5</v>
      </c>
      <c r="F77" s="543">
        <v>1</v>
      </c>
      <c r="G77" s="543" t="s">
        <v>940</v>
      </c>
      <c r="H77" s="543" t="s">
        <v>940</v>
      </c>
      <c r="I77" s="31" t="str">
        <f t="shared" si="3"/>
        <v>Cond4</v>
      </c>
    </row>
    <row r="78" spans="1:9" ht="14.25" x14ac:dyDescent="0.2">
      <c r="A78" s="88" t="str">
        <f>'G-1 All Habitats'!B77</f>
        <v>Urban - Vegetated garden</v>
      </c>
      <c r="B78" s="543" t="s">
        <v>940</v>
      </c>
      <c r="C78" s="543" t="s">
        <v>940</v>
      </c>
      <c r="D78" s="543" t="s">
        <v>940</v>
      </c>
      <c r="E78" s="543" t="s">
        <v>940</v>
      </c>
      <c r="F78" s="543" t="s">
        <v>940</v>
      </c>
      <c r="G78" s="543">
        <v>1</v>
      </c>
      <c r="H78" s="543" t="s">
        <v>940</v>
      </c>
      <c r="I78" s="31" t="str">
        <f t="shared" si="3"/>
        <v>Cond1</v>
      </c>
    </row>
    <row r="79" spans="1:9" ht="14.25" x14ac:dyDescent="0.2">
      <c r="A79" s="88" t="str">
        <f>'G-1 All Habitats'!B78</f>
        <v>Wetland - Blanket bog</v>
      </c>
      <c r="B79" s="543">
        <v>3</v>
      </c>
      <c r="C79" s="543">
        <v>2.5</v>
      </c>
      <c r="D79" s="543">
        <v>2</v>
      </c>
      <c r="E79" s="543">
        <v>1.5</v>
      </c>
      <c r="F79" s="543">
        <v>1</v>
      </c>
      <c r="G79" s="543" t="s">
        <v>940</v>
      </c>
      <c r="H79" s="543" t="s">
        <v>940</v>
      </c>
      <c r="I79" s="31" t="str">
        <f t="shared" si="3"/>
        <v>Cond4</v>
      </c>
    </row>
    <row r="80" spans="1:9" ht="14.25" x14ac:dyDescent="0.2">
      <c r="A80" s="88" t="str">
        <f>'G-1 All Habitats'!B79</f>
        <v>Wetland - Depressions on Peat substrates (H7150)</v>
      </c>
      <c r="B80" s="543">
        <v>3</v>
      </c>
      <c r="C80" s="543">
        <v>2.5</v>
      </c>
      <c r="D80" s="543">
        <v>2</v>
      </c>
      <c r="E80" s="543">
        <v>1.5</v>
      </c>
      <c r="F80" s="543">
        <v>1</v>
      </c>
      <c r="G80" s="543" t="s">
        <v>940</v>
      </c>
      <c r="H80" s="543" t="s">
        <v>940</v>
      </c>
      <c r="I80" s="31" t="str">
        <f t="shared" si="3"/>
        <v>Cond4</v>
      </c>
    </row>
    <row r="81" spans="1:9" ht="14.25" x14ac:dyDescent="0.2">
      <c r="A81" s="88" t="str">
        <f>'G-1 All Habitats'!B80</f>
        <v>Wetland - Fens (upland and lowland)</v>
      </c>
      <c r="B81" s="543">
        <v>3</v>
      </c>
      <c r="C81" s="543">
        <v>2.5</v>
      </c>
      <c r="D81" s="543">
        <v>2</v>
      </c>
      <c r="E81" s="543">
        <v>1.5</v>
      </c>
      <c r="F81" s="543">
        <v>1</v>
      </c>
      <c r="G81" s="543" t="s">
        <v>940</v>
      </c>
      <c r="H81" s="543" t="s">
        <v>940</v>
      </c>
      <c r="I81" s="31" t="str">
        <f t="shared" si="3"/>
        <v>Cond4</v>
      </c>
    </row>
    <row r="82" spans="1:9" ht="14.25" x14ac:dyDescent="0.2">
      <c r="A82" s="88" t="str">
        <f>'G-1 All Habitats'!B81</f>
        <v>Wetland - Lowland raised bog</v>
      </c>
      <c r="B82" s="543">
        <v>3</v>
      </c>
      <c r="C82" s="543">
        <v>2.5</v>
      </c>
      <c r="D82" s="543">
        <v>2</v>
      </c>
      <c r="E82" s="543">
        <v>1.5</v>
      </c>
      <c r="F82" s="543">
        <v>1</v>
      </c>
      <c r="G82" s="543" t="s">
        <v>940</v>
      </c>
      <c r="H82" s="543" t="s">
        <v>940</v>
      </c>
      <c r="I82" s="31" t="str">
        <f t="shared" si="3"/>
        <v>Cond4</v>
      </c>
    </row>
    <row r="83" spans="1:9" ht="14.25" x14ac:dyDescent="0.2">
      <c r="A83" s="88" t="str">
        <f>'G-1 All Habitats'!B82</f>
        <v>Wetland - Oceanic Valley Mire[1] (D2.1)</v>
      </c>
      <c r="B83" s="543">
        <v>3</v>
      </c>
      <c r="C83" s="543">
        <v>2.5</v>
      </c>
      <c r="D83" s="543">
        <v>2</v>
      </c>
      <c r="E83" s="543">
        <v>1.5</v>
      </c>
      <c r="F83" s="543">
        <v>1</v>
      </c>
      <c r="G83" s="543" t="s">
        <v>940</v>
      </c>
      <c r="H83" s="543" t="s">
        <v>940</v>
      </c>
      <c r="I83" s="31" t="str">
        <f t="shared" si="3"/>
        <v>Cond4</v>
      </c>
    </row>
    <row r="84" spans="1:9" ht="14.25" x14ac:dyDescent="0.2">
      <c r="A84" s="88" t="str">
        <f>'G-1 All Habitats'!B83</f>
        <v>Wetland - Purple moor grass and rush pastures</v>
      </c>
      <c r="B84" s="543">
        <v>3</v>
      </c>
      <c r="C84" s="543">
        <v>2.5</v>
      </c>
      <c r="D84" s="543">
        <v>2</v>
      </c>
      <c r="E84" s="543">
        <v>1.5</v>
      </c>
      <c r="F84" s="543">
        <v>1</v>
      </c>
      <c r="G84" s="543" t="s">
        <v>940</v>
      </c>
      <c r="H84" s="543" t="s">
        <v>940</v>
      </c>
      <c r="I84" s="31" t="str">
        <f t="shared" si="3"/>
        <v>Cond4</v>
      </c>
    </row>
    <row r="85" spans="1:9" ht="14.25" x14ac:dyDescent="0.2">
      <c r="A85" s="88" t="str">
        <f>'G-1 All Habitats'!B84</f>
        <v>Wetland - Reedbeds</v>
      </c>
      <c r="B85" s="543">
        <v>3</v>
      </c>
      <c r="C85" s="543">
        <v>2.5</v>
      </c>
      <c r="D85" s="543">
        <v>2</v>
      </c>
      <c r="E85" s="543">
        <v>1.5</v>
      </c>
      <c r="F85" s="543">
        <v>1</v>
      </c>
      <c r="G85" s="543" t="s">
        <v>940</v>
      </c>
      <c r="H85" s="543" t="s">
        <v>940</v>
      </c>
      <c r="I85" s="31" t="str">
        <f t="shared" si="3"/>
        <v>Cond4</v>
      </c>
    </row>
    <row r="86" spans="1:9" ht="14.25" x14ac:dyDescent="0.2">
      <c r="A86" s="88" t="str">
        <f>'G-1 All Habitats'!B85</f>
        <v>Wetland - Transition mires and quaking bogs (H7140)</v>
      </c>
      <c r="B86" s="543">
        <v>3</v>
      </c>
      <c r="C86" s="543">
        <v>2.5</v>
      </c>
      <c r="D86" s="543">
        <v>2</v>
      </c>
      <c r="E86" s="543">
        <v>1.5</v>
      </c>
      <c r="F86" s="543">
        <v>1</v>
      </c>
      <c r="G86" s="543" t="s">
        <v>940</v>
      </c>
      <c r="H86" s="543" t="s">
        <v>940</v>
      </c>
      <c r="I86" s="31" t="str">
        <f t="shared" si="3"/>
        <v>Cond4</v>
      </c>
    </row>
    <row r="87" spans="1:9" ht="14.25" x14ac:dyDescent="0.2">
      <c r="A87" s="88" t="str">
        <f>'G-1 All Habitats'!B86</f>
        <v>Woodland and forest - Felled</v>
      </c>
      <c r="B87" s="543">
        <v>3</v>
      </c>
      <c r="C87" s="543" t="s">
        <v>940</v>
      </c>
      <c r="D87" s="543" t="s">
        <v>940</v>
      </c>
      <c r="E87" s="543" t="s">
        <v>940</v>
      </c>
      <c r="F87" s="543" t="s">
        <v>940</v>
      </c>
      <c r="G87" s="543" t="s">
        <v>940</v>
      </c>
      <c r="H87" s="543" t="s">
        <v>940</v>
      </c>
      <c r="I87" s="31" t="s">
        <v>1050</v>
      </c>
    </row>
    <row r="88" spans="1:9" ht="14.25" x14ac:dyDescent="0.2">
      <c r="A88" s="88" t="str">
        <f>'G-1 All Habitats'!B87</f>
        <v>Woodland and forest - Lowland beech and yew woodland</v>
      </c>
      <c r="B88" s="543">
        <v>3</v>
      </c>
      <c r="C88" s="543">
        <v>2.5</v>
      </c>
      <c r="D88" s="543">
        <v>2</v>
      </c>
      <c r="E88" s="543">
        <v>1.5</v>
      </c>
      <c r="F88" s="543">
        <v>1</v>
      </c>
      <c r="G88" s="543" t="s">
        <v>940</v>
      </c>
      <c r="H88" s="543" t="s">
        <v>940</v>
      </c>
      <c r="I88" s="31" t="str">
        <f t="shared" ref="I88:I130" si="4">IF(G88=1,"Cond1",IF(H88=0,"Cond2",IF(AND(B88=3,C88=2.5,D88=2,E88=1.5,F88=1),"Cond4",IF(F88=1,"Cond3","Check"))))</f>
        <v>Cond4</v>
      </c>
    </row>
    <row r="89" spans="1:9" ht="14.25" x14ac:dyDescent="0.2">
      <c r="A89" s="88" t="str">
        <f>'G-1 All Habitats'!B88</f>
        <v>Woodland and forest - Lowland mixed deciduous woodland</v>
      </c>
      <c r="B89" s="543">
        <v>3</v>
      </c>
      <c r="C89" s="543">
        <v>2.5</v>
      </c>
      <c r="D89" s="543">
        <v>2</v>
      </c>
      <c r="E89" s="543">
        <v>1.5</v>
      </c>
      <c r="F89" s="543">
        <v>1</v>
      </c>
      <c r="G89" s="543" t="s">
        <v>940</v>
      </c>
      <c r="H89" s="543" t="s">
        <v>940</v>
      </c>
      <c r="I89" s="31" t="str">
        <f t="shared" si="4"/>
        <v>Cond4</v>
      </c>
    </row>
    <row r="90" spans="1:9" ht="14.25" x14ac:dyDescent="0.2">
      <c r="A90" s="88" t="str">
        <f>'G-1 All Habitats'!B89</f>
        <v>Woodland and forest - Native pine woodlands</v>
      </c>
      <c r="B90" s="543">
        <v>3</v>
      </c>
      <c r="C90" s="543">
        <v>2.5</v>
      </c>
      <c r="D90" s="543">
        <v>2</v>
      </c>
      <c r="E90" s="543">
        <v>1.5</v>
      </c>
      <c r="F90" s="543">
        <v>1</v>
      </c>
      <c r="G90" s="543" t="s">
        <v>940</v>
      </c>
      <c r="H90" s="543" t="s">
        <v>940</v>
      </c>
      <c r="I90" s="31" t="str">
        <f t="shared" si="4"/>
        <v>Cond4</v>
      </c>
    </row>
    <row r="91" spans="1:9" ht="14.25" x14ac:dyDescent="0.2">
      <c r="A91" s="88" t="str">
        <f>'G-1 All Habitats'!B90</f>
        <v>Woodland and forest - Other coniferous woodland</v>
      </c>
      <c r="B91" s="543">
        <v>3</v>
      </c>
      <c r="C91" s="543">
        <v>2.5</v>
      </c>
      <c r="D91" s="543">
        <v>2</v>
      </c>
      <c r="E91" s="543">
        <v>1.5</v>
      </c>
      <c r="F91" s="543">
        <v>1</v>
      </c>
      <c r="G91" s="543" t="s">
        <v>940</v>
      </c>
      <c r="H91" s="543" t="s">
        <v>940</v>
      </c>
      <c r="I91" s="31" t="str">
        <f t="shared" si="4"/>
        <v>Cond4</v>
      </c>
    </row>
    <row r="92" spans="1:9" ht="14.25" x14ac:dyDescent="0.2">
      <c r="A92" s="88" t="str">
        <f>'G-1 All Habitats'!B91</f>
        <v>Woodland and forest - Other Scot's Pine woodland</v>
      </c>
      <c r="B92" s="543">
        <v>3</v>
      </c>
      <c r="C92" s="543">
        <v>2.5</v>
      </c>
      <c r="D92" s="543">
        <v>2</v>
      </c>
      <c r="E92" s="543">
        <v>1.5</v>
      </c>
      <c r="F92" s="543">
        <v>1</v>
      </c>
      <c r="G92" s="543" t="s">
        <v>940</v>
      </c>
      <c r="H92" s="543" t="s">
        <v>940</v>
      </c>
      <c r="I92" s="31" t="str">
        <f t="shared" si="4"/>
        <v>Cond4</v>
      </c>
    </row>
    <row r="93" spans="1:9" ht="14.25" x14ac:dyDescent="0.2">
      <c r="A93" s="88" t="str">
        <f>'G-1 All Habitats'!B92</f>
        <v>Woodland and forest - Other woodland; broadleaved</v>
      </c>
      <c r="B93" s="543">
        <v>3</v>
      </c>
      <c r="C93" s="543">
        <v>2.5</v>
      </c>
      <c r="D93" s="543">
        <v>2</v>
      </c>
      <c r="E93" s="543">
        <v>1.5</v>
      </c>
      <c r="F93" s="543">
        <v>1</v>
      </c>
      <c r="G93" s="543" t="s">
        <v>940</v>
      </c>
      <c r="H93" s="543" t="s">
        <v>940</v>
      </c>
      <c r="I93" s="31" t="str">
        <f t="shared" si="4"/>
        <v>Cond4</v>
      </c>
    </row>
    <row r="94" spans="1:9" ht="14.25" x14ac:dyDescent="0.2">
      <c r="A94" s="88" t="str">
        <f>'G-1 All Habitats'!B93</f>
        <v>Woodland and forest - Other woodland; mixed</v>
      </c>
      <c r="B94" s="543">
        <v>3</v>
      </c>
      <c r="C94" s="543">
        <v>2.5</v>
      </c>
      <c r="D94" s="543">
        <v>2</v>
      </c>
      <c r="E94" s="543">
        <v>1.5</v>
      </c>
      <c r="F94" s="543">
        <v>1</v>
      </c>
      <c r="G94" s="543" t="s">
        <v>940</v>
      </c>
      <c r="H94" s="543" t="s">
        <v>940</v>
      </c>
      <c r="I94" s="31" t="str">
        <f t="shared" si="4"/>
        <v>Cond4</v>
      </c>
    </row>
    <row r="95" spans="1:9" ht="14.25" x14ac:dyDescent="0.2">
      <c r="A95" s="88" t="str">
        <f>'G-1 All Habitats'!B94</f>
        <v>Woodland and forest - Upland birchwoods</v>
      </c>
      <c r="B95" s="543">
        <v>3</v>
      </c>
      <c r="C95" s="543">
        <v>2.5</v>
      </c>
      <c r="D95" s="543">
        <v>2</v>
      </c>
      <c r="E95" s="543">
        <v>1.5</v>
      </c>
      <c r="F95" s="543">
        <v>1</v>
      </c>
      <c r="G95" s="543" t="s">
        <v>940</v>
      </c>
      <c r="H95" s="543" t="s">
        <v>940</v>
      </c>
      <c r="I95" s="31" t="str">
        <f t="shared" si="4"/>
        <v>Cond4</v>
      </c>
    </row>
    <row r="96" spans="1:9" ht="14.25" x14ac:dyDescent="0.2">
      <c r="A96" s="88" t="str">
        <f>'G-1 All Habitats'!B95</f>
        <v>Woodland and forest - Upland mixed ashwoods</v>
      </c>
      <c r="B96" s="543">
        <v>3</v>
      </c>
      <c r="C96" s="543">
        <v>2.5</v>
      </c>
      <c r="D96" s="543">
        <v>2</v>
      </c>
      <c r="E96" s="543">
        <v>1.5</v>
      </c>
      <c r="F96" s="543">
        <v>1</v>
      </c>
      <c r="G96" s="543" t="s">
        <v>940</v>
      </c>
      <c r="H96" s="543" t="s">
        <v>940</v>
      </c>
      <c r="I96" s="31" t="str">
        <f t="shared" si="4"/>
        <v>Cond4</v>
      </c>
    </row>
    <row r="97" spans="1:9" ht="14.25" x14ac:dyDescent="0.2">
      <c r="A97" s="88" t="str">
        <f>'G-1 All Habitats'!B96</f>
        <v>Woodland and forest - Upland oakwood</v>
      </c>
      <c r="B97" s="543">
        <v>3</v>
      </c>
      <c r="C97" s="543">
        <v>2.5</v>
      </c>
      <c r="D97" s="543">
        <v>2</v>
      </c>
      <c r="E97" s="543">
        <v>1.5</v>
      </c>
      <c r="F97" s="543">
        <v>1</v>
      </c>
      <c r="G97" s="543" t="s">
        <v>940</v>
      </c>
      <c r="H97" s="543" t="s">
        <v>940</v>
      </c>
      <c r="I97" s="31" t="str">
        <f t="shared" si="4"/>
        <v>Cond4</v>
      </c>
    </row>
    <row r="98" spans="1:9" ht="14.25" x14ac:dyDescent="0.2">
      <c r="A98" s="88" t="str">
        <f>'G-1 All Habitats'!B97</f>
        <v>Woodland and forest - Wet woodland</v>
      </c>
      <c r="B98" s="543">
        <v>3</v>
      </c>
      <c r="C98" s="543">
        <v>2.5</v>
      </c>
      <c r="D98" s="543">
        <v>2</v>
      </c>
      <c r="E98" s="543">
        <v>1.5</v>
      </c>
      <c r="F98" s="543">
        <v>1</v>
      </c>
      <c r="G98" s="543" t="s">
        <v>940</v>
      </c>
      <c r="H98" s="543" t="s">
        <v>940</v>
      </c>
      <c r="I98" s="31" t="str">
        <f t="shared" si="4"/>
        <v>Cond4</v>
      </c>
    </row>
    <row r="99" spans="1:9" ht="14.25" x14ac:dyDescent="0.2">
      <c r="A99" s="88" t="str">
        <f>'G-1 All Habitats'!B98</f>
        <v>Woodland and forest - Wood-pasture and parkland</v>
      </c>
      <c r="B99" s="543">
        <v>3</v>
      </c>
      <c r="C99" s="543">
        <v>2.5</v>
      </c>
      <c r="D99" s="543">
        <v>2</v>
      </c>
      <c r="E99" s="543">
        <v>1.5</v>
      </c>
      <c r="F99" s="543">
        <v>1</v>
      </c>
      <c r="G99" s="543" t="s">
        <v>940</v>
      </c>
      <c r="H99" s="543" t="s">
        <v>940</v>
      </c>
      <c r="I99" s="31" t="str">
        <f t="shared" si="4"/>
        <v>Cond4</v>
      </c>
    </row>
    <row r="100" spans="1:9" ht="14.25" x14ac:dyDescent="0.2">
      <c r="A100" s="88" t="str">
        <f>'G-1 All Habitats'!B99</f>
        <v>Coastal lagoons - Coastal lagoons</v>
      </c>
      <c r="B100" s="543">
        <v>3</v>
      </c>
      <c r="C100" s="543">
        <v>2.5</v>
      </c>
      <c r="D100" s="543">
        <v>2</v>
      </c>
      <c r="E100" s="543">
        <v>1.5</v>
      </c>
      <c r="F100" s="543">
        <v>1</v>
      </c>
      <c r="G100" s="543" t="s">
        <v>940</v>
      </c>
      <c r="H100" s="543" t="s">
        <v>940</v>
      </c>
      <c r="I100" s="31" t="str">
        <f t="shared" si="4"/>
        <v>Cond4</v>
      </c>
    </row>
    <row r="101" spans="1:9" ht="14.25" x14ac:dyDescent="0.2">
      <c r="A101" s="88" t="str">
        <f>'G-1 All Habitats'!B100</f>
        <v>Rocky shore - High energy littoral rock</v>
      </c>
      <c r="B101" s="543">
        <v>3</v>
      </c>
      <c r="C101" s="543">
        <v>2.5</v>
      </c>
      <c r="D101" s="543">
        <v>2</v>
      </c>
      <c r="E101" s="543">
        <v>1.5</v>
      </c>
      <c r="F101" s="543">
        <v>1</v>
      </c>
      <c r="G101" s="543" t="s">
        <v>940</v>
      </c>
      <c r="H101" s="543" t="s">
        <v>940</v>
      </c>
      <c r="I101" s="31" t="str">
        <f t="shared" si="4"/>
        <v>Cond4</v>
      </c>
    </row>
    <row r="102" spans="1:9" ht="14.25" x14ac:dyDescent="0.2">
      <c r="A102" s="88" t="str">
        <f>'G-1 All Habitats'!B101</f>
        <v>Rocky shore - High energy littoral rock - on peat, clay or chalk</v>
      </c>
      <c r="B102" s="543">
        <v>3</v>
      </c>
      <c r="C102" s="543">
        <v>2.5</v>
      </c>
      <c r="D102" s="543">
        <v>2</v>
      </c>
      <c r="E102" s="543">
        <v>1.5</v>
      </c>
      <c r="F102" s="543">
        <v>1</v>
      </c>
      <c r="G102" s="543" t="s">
        <v>940</v>
      </c>
      <c r="H102" s="543" t="s">
        <v>940</v>
      </c>
      <c r="I102" s="31" t="str">
        <f t="shared" si="4"/>
        <v>Cond4</v>
      </c>
    </row>
    <row r="103" spans="1:9" ht="14.25" x14ac:dyDescent="0.2">
      <c r="A103" s="88" t="str">
        <f>'G-1 All Habitats'!B102</f>
        <v>Rocky shore - Moderate energy littoral rock</v>
      </c>
      <c r="B103" s="543">
        <v>3</v>
      </c>
      <c r="C103" s="543">
        <v>2.5</v>
      </c>
      <c r="D103" s="543">
        <v>2</v>
      </c>
      <c r="E103" s="543">
        <v>1.5</v>
      </c>
      <c r="F103" s="543">
        <v>1</v>
      </c>
      <c r="G103" s="543" t="s">
        <v>940</v>
      </c>
      <c r="H103" s="543" t="s">
        <v>940</v>
      </c>
      <c r="I103" s="31" t="str">
        <f t="shared" si="4"/>
        <v>Cond4</v>
      </c>
    </row>
    <row r="104" spans="1:9" ht="14.25" x14ac:dyDescent="0.2">
      <c r="A104" s="88" t="str">
        <f>'G-1 All Habitats'!B103</f>
        <v>Rocky shore - Moderate energy littoral rock - on peat, clay or chalk</v>
      </c>
      <c r="B104" s="543">
        <v>3</v>
      </c>
      <c r="C104" s="543">
        <v>2.5</v>
      </c>
      <c r="D104" s="543">
        <v>2</v>
      </c>
      <c r="E104" s="543">
        <v>1.5</v>
      </c>
      <c r="F104" s="543">
        <v>1</v>
      </c>
      <c r="G104" s="543" t="s">
        <v>940</v>
      </c>
      <c r="H104" s="543" t="s">
        <v>940</v>
      </c>
      <c r="I104" s="31" t="str">
        <f t="shared" si="4"/>
        <v>Cond4</v>
      </c>
    </row>
    <row r="105" spans="1:9" ht="14.25" x14ac:dyDescent="0.2">
      <c r="A105" s="88" t="str">
        <f>'G-1 All Habitats'!B104</f>
        <v>Rocky shore - Low energy littoral rock</v>
      </c>
      <c r="B105" s="543">
        <v>3</v>
      </c>
      <c r="C105" s="543">
        <v>2.5</v>
      </c>
      <c r="D105" s="543">
        <v>2</v>
      </c>
      <c r="E105" s="543">
        <v>1.5</v>
      </c>
      <c r="F105" s="543">
        <v>1</v>
      </c>
      <c r="G105" s="543" t="s">
        <v>940</v>
      </c>
      <c r="H105" s="543" t="s">
        <v>940</v>
      </c>
      <c r="I105" s="31" t="str">
        <f t="shared" si="4"/>
        <v>Cond4</v>
      </c>
    </row>
    <row r="106" spans="1:9" ht="14.25" x14ac:dyDescent="0.2">
      <c r="A106" s="88" t="str">
        <f>'G-1 All Habitats'!B105</f>
        <v>Rocky shore - Low energy littoral rock - on peat, clay or chalk</v>
      </c>
      <c r="B106" s="543">
        <v>3</v>
      </c>
      <c r="C106" s="543">
        <v>2.5</v>
      </c>
      <c r="D106" s="543">
        <v>2</v>
      </c>
      <c r="E106" s="543">
        <v>1.5</v>
      </c>
      <c r="F106" s="543">
        <v>1</v>
      </c>
      <c r="G106" s="543" t="s">
        <v>940</v>
      </c>
      <c r="H106" s="543" t="s">
        <v>940</v>
      </c>
      <c r="I106" s="31" t="str">
        <f t="shared" si="4"/>
        <v>Cond4</v>
      </c>
    </row>
    <row r="107" spans="1:9" ht="14.25" x14ac:dyDescent="0.2">
      <c r="A107" s="88" t="str">
        <f>'G-1 All Habitats'!B106</f>
        <v>Rocky shore - Features of littoral rock</v>
      </c>
      <c r="B107" s="543">
        <v>3</v>
      </c>
      <c r="C107" s="543">
        <v>2.5</v>
      </c>
      <c r="D107" s="543">
        <v>2</v>
      </c>
      <c r="E107" s="543">
        <v>1.5</v>
      </c>
      <c r="F107" s="543">
        <v>1</v>
      </c>
      <c r="G107" s="543" t="s">
        <v>940</v>
      </c>
      <c r="H107" s="543" t="s">
        <v>940</v>
      </c>
      <c r="I107" s="31" t="str">
        <f t="shared" si="4"/>
        <v>Cond4</v>
      </c>
    </row>
    <row r="108" spans="1:9" ht="14.25" x14ac:dyDescent="0.2">
      <c r="A108" s="88" t="str">
        <f>'G-1 All Habitats'!B107</f>
        <v>Rocky shore - Features of littoral rock - on peat, clay or chalk</v>
      </c>
      <c r="B108" s="543">
        <v>3</v>
      </c>
      <c r="C108" s="543">
        <v>2.5</v>
      </c>
      <c r="D108" s="543">
        <v>2</v>
      </c>
      <c r="E108" s="543">
        <v>1.5</v>
      </c>
      <c r="F108" s="543">
        <v>1</v>
      </c>
      <c r="G108" s="543" t="s">
        <v>940</v>
      </c>
      <c r="H108" s="543" t="s">
        <v>940</v>
      </c>
      <c r="I108" s="31" t="str">
        <f t="shared" si="4"/>
        <v>Cond4</v>
      </c>
    </row>
    <row r="109" spans="1:9" ht="14.25" x14ac:dyDescent="0.2">
      <c r="A109" s="88" t="str">
        <f>'G-1 All Habitats'!B110</f>
        <v>Intertidal sediment - Littoral coarse sediment</v>
      </c>
      <c r="B109" s="543">
        <v>3</v>
      </c>
      <c r="C109" s="543">
        <v>2.5</v>
      </c>
      <c r="D109" s="543">
        <v>2</v>
      </c>
      <c r="E109" s="543">
        <v>1.5</v>
      </c>
      <c r="F109" s="543">
        <v>1</v>
      </c>
      <c r="G109" s="543" t="s">
        <v>940</v>
      </c>
      <c r="H109" s="543" t="s">
        <v>940</v>
      </c>
      <c r="I109" s="31" t="str">
        <f t="shared" si="4"/>
        <v>Cond4</v>
      </c>
    </row>
    <row r="110" spans="1:9" ht="14.25" x14ac:dyDescent="0.2">
      <c r="A110" s="88" t="str">
        <f>'G-1 All Habitats'!B111</f>
        <v>Intertidal sediment - Littoral mud</v>
      </c>
      <c r="B110" s="543">
        <v>3</v>
      </c>
      <c r="C110" s="543">
        <v>2.5</v>
      </c>
      <c r="D110" s="543">
        <v>2</v>
      </c>
      <c r="E110" s="543">
        <v>1.5</v>
      </c>
      <c r="F110" s="543">
        <v>1</v>
      </c>
      <c r="G110" s="543" t="s">
        <v>940</v>
      </c>
      <c r="H110" s="543" t="s">
        <v>940</v>
      </c>
      <c r="I110" s="31" t="str">
        <f t="shared" si="4"/>
        <v>Cond4</v>
      </c>
    </row>
    <row r="111" spans="1:9" ht="14.25" x14ac:dyDescent="0.2">
      <c r="A111" s="88" t="str">
        <f>'G-1 All Habitats'!B112</f>
        <v>Intertidal sediment - Littoral mixed sediments</v>
      </c>
      <c r="B111" s="543">
        <v>3</v>
      </c>
      <c r="C111" s="543">
        <v>2.5</v>
      </c>
      <c r="D111" s="543">
        <v>2</v>
      </c>
      <c r="E111" s="543">
        <v>1.5</v>
      </c>
      <c r="F111" s="543">
        <v>1</v>
      </c>
      <c r="G111" s="543" t="s">
        <v>940</v>
      </c>
      <c r="H111" s="543" t="s">
        <v>940</v>
      </c>
      <c r="I111" s="31" t="str">
        <f t="shared" si="4"/>
        <v>Cond4</v>
      </c>
    </row>
    <row r="112" spans="1:9" ht="14.25" x14ac:dyDescent="0.2">
      <c r="A112" s="88" t="str">
        <f>'G-1 All Habitats'!B108</f>
        <v>Coastal saltmarsh - Saltmarshes and saline reedbeds</v>
      </c>
      <c r="B112" s="543">
        <v>3</v>
      </c>
      <c r="C112" s="543">
        <v>2.5</v>
      </c>
      <c r="D112" s="543">
        <v>2</v>
      </c>
      <c r="E112" s="543">
        <v>1.5</v>
      </c>
      <c r="F112" s="543">
        <v>1</v>
      </c>
      <c r="G112" s="543" t="s">
        <v>940</v>
      </c>
      <c r="H112" s="543" t="s">
        <v>940</v>
      </c>
      <c r="I112" s="31" t="str">
        <f t="shared" si="4"/>
        <v>Cond4</v>
      </c>
    </row>
    <row r="113" spans="1:9" ht="14.25" x14ac:dyDescent="0.2">
      <c r="A113" s="88" t="str">
        <f>'G-1 All Habitats'!B109</f>
        <v>Coastal saltmarsh - Artificial saltmarshes and saline reedbeds</v>
      </c>
      <c r="B113" s="543">
        <v>3</v>
      </c>
      <c r="C113" s="543">
        <v>2.5</v>
      </c>
      <c r="D113" s="543">
        <v>2</v>
      </c>
      <c r="E113" s="543">
        <v>1.5</v>
      </c>
      <c r="F113" s="543">
        <v>1</v>
      </c>
      <c r="G113" s="543" t="s">
        <v>940</v>
      </c>
      <c r="H113" s="543" t="s">
        <v>940</v>
      </c>
      <c r="I113" s="31" t="str">
        <f t="shared" si="4"/>
        <v>Cond4</v>
      </c>
    </row>
    <row r="114" spans="1:9" ht="14.25" x14ac:dyDescent="0.2">
      <c r="A114" s="88" t="str">
        <f>'G-1 All Habitats'!B113</f>
        <v>Intertidal sediment - Littoral seagrass</v>
      </c>
      <c r="B114" s="543">
        <v>3</v>
      </c>
      <c r="C114" s="543">
        <v>2.5</v>
      </c>
      <c r="D114" s="543">
        <v>2</v>
      </c>
      <c r="E114" s="543">
        <v>1.5</v>
      </c>
      <c r="F114" s="543">
        <v>1</v>
      </c>
      <c r="G114" s="543" t="s">
        <v>940</v>
      </c>
      <c r="H114" s="543" t="s">
        <v>940</v>
      </c>
      <c r="I114" s="31" t="str">
        <f t="shared" si="4"/>
        <v>Cond4</v>
      </c>
    </row>
    <row r="115" spans="1:9" ht="14.25" x14ac:dyDescent="0.2">
      <c r="A115" s="88" t="str">
        <f>'G-1 All Habitats'!B114</f>
        <v>Intertidal sediment - Littoral seagrass on peat, clay or chalk</v>
      </c>
      <c r="B115" s="543">
        <v>3</v>
      </c>
      <c r="C115" s="543">
        <v>2.5</v>
      </c>
      <c r="D115" s="543">
        <v>2</v>
      </c>
      <c r="E115" s="543">
        <v>1.5</v>
      </c>
      <c r="F115" s="543">
        <v>1</v>
      </c>
      <c r="G115" s="543" t="s">
        <v>940</v>
      </c>
      <c r="H115" s="543" t="s">
        <v>940</v>
      </c>
      <c r="I115" s="31" t="str">
        <f t="shared" si="4"/>
        <v>Cond4</v>
      </c>
    </row>
    <row r="116" spans="1:9" ht="14.25" x14ac:dyDescent="0.2">
      <c r="A116" s="88" t="str">
        <f>'G-1 All Habitats'!B115</f>
        <v>Intertidal sediment - Littoral biogenic reefs - Mussels</v>
      </c>
      <c r="B116" s="543">
        <v>3</v>
      </c>
      <c r="C116" s="543">
        <v>2.5</v>
      </c>
      <c r="D116" s="543">
        <v>2</v>
      </c>
      <c r="E116" s="543">
        <v>1.5</v>
      </c>
      <c r="F116" s="543">
        <v>1</v>
      </c>
      <c r="G116" s="543" t="s">
        <v>940</v>
      </c>
      <c r="H116" s="543" t="s">
        <v>940</v>
      </c>
      <c r="I116" s="31" t="str">
        <f t="shared" si="4"/>
        <v>Cond4</v>
      </c>
    </row>
    <row r="117" spans="1:9" ht="14.25" x14ac:dyDescent="0.2">
      <c r="A117" s="88" t="str">
        <f>'G-1 All Habitats'!B116</f>
        <v>Intertidal sediment - Littoral biogenic reefs - Sabellaria</v>
      </c>
      <c r="B117" s="543">
        <v>3</v>
      </c>
      <c r="C117" s="543">
        <v>2.5</v>
      </c>
      <c r="D117" s="543">
        <v>2</v>
      </c>
      <c r="E117" s="543">
        <v>1.5</v>
      </c>
      <c r="F117" s="543">
        <v>1</v>
      </c>
      <c r="G117" s="543" t="s">
        <v>940</v>
      </c>
      <c r="H117" s="543" t="s">
        <v>940</v>
      </c>
      <c r="I117" s="31" t="str">
        <f t="shared" si="4"/>
        <v>Cond4</v>
      </c>
    </row>
    <row r="118" spans="1:9" ht="14.25" x14ac:dyDescent="0.2">
      <c r="A118" s="88" t="str">
        <f>'G-1 All Habitats'!B117</f>
        <v>Intertidal sediment - Features of littoral sediment</v>
      </c>
      <c r="B118" s="543">
        <v>3</v>
      </c>
      <c r="C118" s="543">
        <v>2.5</v>
      </c>
      <c r="D118" s="543">
        <v>2</v>
      </c>
      <c r="E118" s="543">
        <v>1.5</v>
      </c>
      <c r="F118" s="543">
        <v>1</v>
      </c>
      <c r="G118" s="543" t="s">
        <v>940</v>
      </c>
      <c r="H118" s="543" t="s">
        <v>940</v>
      </c>
      <c r="I118" s="31" t="str">
        <f t="shared" si="4"/>
        <v>Cond4</v>
      </c>
    </row>
    <row r="119" spans="1:9" ht="14.25" x14ac:dyDescent="0.2">
      <c r="A119" s="88" t="str">
        <f>'G-1 All Habitats'!B118</f>
        <v>Intertidal sediment - Artificial littoral coarse sediment</v>
      </c>
      <c r="B119" s="543">
        <v>3</v>
      </c>
      <c r="C119" s="543">
        <v>2.5</v>
      </c>
      <c r="D119" s="543">
        <v>2</v>
      </c>
      <c r="E119" s="543">
        <v>1.5</v>
      </c>
      <c r="F119" s="543">
        <v>1</v>
      </c>
      <c r="G119" s="543" t="s">
        <v>940</v>
      </c>
      <c r="H119" s="543" t="s">
        <v>940</v>
      </c>
      <c r="I119" s="31" t="str">
        <f t="shared" si="4"/>
        <v>Cond4</v>
      </c>
    </row>
    <row r="120" spans="1:9" ht="14.25" x14ac:dyDescent="0.2">
      <c r="A120" s="88" t="str">
        <f>'G-1 All Habitats'!B119</f>
        <v>Intertidal sediment - Artificial littoral mud</v>
      </c>
      <c r="B120" s="543">
        <v>3</v>
      </c>
      <c r="C120" s="543">
        <v>2.5</v>
      </c>
      <c r="D120" s="543">
        <v>2</v>
      </c>
      <c r="E120" s="543">
        <v>1.5</v>
      </c>
      <c r="F120" s="543">
        <v>1</v>
      </c>
      <c r="G120" s="543" t="s">
        <v>940</v>
      </c>
      <c r="H120" s="543" t="s">
        <v>940</v>
      </c>
      <c r="I120" s="31" t="str">
        <f t="shared" si="4"/>
        <v>Cond4</v>
      </c>
    </row>
    <row r="121" spans="1:9" ht="14.25" x14ac:dyDescent="0.2">
      <c r="A121" s="88" t="str">
        <f>'G-1 All Habitats'!B120</f>
        <v>Intertidal sediment - Artificial littoral sand</v>
      </c>
      <c r="B121" s="543">
        <v>3</v>
      </c>
      <c r="C121" s="543">
        <v>2.5</v>
      </c>
      <c r="D121" s="543">
        <v>2</v>
      </c>
      <c r="E121" s="543">
        <v>1.5</v>
      </c>
      <c r="F121" s="543">
        <v>1</v>
      </c>
      <c r="G121" s="543" t="s">
        <v>940</v>
      </c>
      <c r="H121" s="543" t="s">
        <v>940</v>
      </c>
      <c r="I121" s="31" t="str">
        <f t="shared" si="4"/>
        <v>Cond4</v>
      </c>
    </row>
    <row r="122" spans="1:9" ht="14.25" x14ac:dyDescent="0.2">
      <c r="A122" s="88" t="str">
        <f>'G-1 All Habitats'!B121</f>
        <v>Intertidal sediment - Artificial littoral muddy sand</v>
      </c>
      <c r="B122" s="543">
        <v>3</v>
      </c>
      <c r="C122" s="543">
        <v>2.5</v>
      </c>
      <c r="D122" s="543">
        <v>2</v>
      </c>
      <c r="E122" s="543">
        <v>1.5</v>
      </c>
      <c r="F122" s="543">
        <v>1</v>
      </c>
      <c r="G122" s="543" t="s">
        <v>940</v>
      </c>
      <c r="H122" s="543" t="s">
        <v>940</v>
      </c>
      <c r="I122" s="31" t="str">
        <f t="shared" si="4"/>
        <v>Cond4</v>
      </c>
    </row>
    <row r="123" spans="1:9" ht="14.25" x14ac:dyDescent="0.2">
      <c r="A123" s="88" t="str">
        <f>'G-1 All Habitats'!B122</f>
        <v>Intertidal sediment - Artificial littoral mixed sediments</v>
      </c>
      <c r="B123" s="543">
        <v>3</v>
      </c>
      <c r="C123" s="543">
        <v>2.5</v>
      </c>
      <c r="D123" s="543">
        <v>2</v>
      </c>
      <c r="E123" s="543">
        <v>1.5</v>
      </c>
      <c r="F123" s="543">
        <v>1</v>
      </c>
      <c r="G123" s="543" t="s">
        <v>940</v>
      </c>
      <c r="H123" s="543" t="s">
        <v>940</v>
      </c>
      <c r="I123" s="31" t="str">
        <f t="shared" si="4"/>
        <v>Cond4</v>
      </c>
    </row>
    <row r="124" spans="1:9" ht="14.25" x14ac:dyDescent="0.2">
      <c r="A124" s="88" t="str">
        <f>'G-1 All Habitats'!B123</f>
        <v>Intertidal sediment - Artificial littoral seagrass</v>
      </c>
      <c r="B124" s="543">
        <v>3</v>
      </c>
      <c r="C124" s="543">
        <v>2.5</v>
      </c>
      <c r="D124" s="543">
        <v>2</v>
      </c>
      <c r="E124" s="543">
        <v>1.5</v>
      </c>
      <c r="F124" s="543">
        <v>1</v>
      </c>
      <c r="G124" s="543" t="s">
        <v>940</v>
      </c>
      <c r="H124" s="543" t="s">
        <v>940</v>
      </c>
      <c r="I124" s="31" t="str">
        <f t="shared" si="4"/>
        <v>Cond4</v>
      </c>
    </row>
    <row r="125" spans="1:9" ht="14.25" x14ac:dyDescent="0.2">
      <c r="A125" s="88" t="str">
        <f>'G-1 All Habitats'!B124</f>
        <v>Intertidal sediment - Artificial littoral biogenic reefs</v>
      </c>
      <c r="B125" s="543">
        <v>3</v>
      </c>
      <c r="C125" s="543">
        <v>2.5</v>
      </c>
      <c r="D125" s="543">
        <v>2</v>
      </c>
      <c r="E125" s="543">
        <v>1.5</v>
      </c>
      <c r="F125" s="543">
        <v>1</v>
      </c>
      <c r="G125" s="543" t="s">
        <v>940</v>
      </c>
      <c r="H125" s="543" t="s">
        <v>940</v>
      </c>
      <c r="I125" s="31" t="str">
        <f t="shared" si="4"/>
        <v>Cond4</v>
      </c>
    </row>
    <row r="126" spans="1:9" ht="14.25" x14ac:dyDescent="0.2">
      <c r="A126" s="88" t="str">
        <f>'G-1 All Habitats'!B125</f>
        <v>Intertidal sediment - Littoral sand</v>
      </c>
      <c r="B126" s="543">
        <v>3</v>
      </c>
      <c r="C126" s="543">
        <v>2.5</v>
      </c>
      <c r="D126" s="543">
        <v>2</v>
      </c>
      <c r="E126" s="543">
        <v>1.5</v>
      </c>
      <c r="F126" s="543">
        <v>1</v>
      </c>
      <c r="G126" s="543" t="s">
        <v>940</v>
      </c>
      <c r="H126" s="543" t="s">
        <v>940</v>
      </c>
      <c r="I126" s="31" t="str">
        <f t="shared" si="4"/>
        <v>Cond4</v>
      </c>
    </row>
    <row r="127" spans="1:9" ht="14.25" x14ac:dyDescent="0.2">
      <c r="A127" s="88" t="str">
        <f>'G-1 All Habitats'!B126</f>
        <v>Intertidal sediment - Littoral muddy sand</v>
      </c>
      <c r="B127" s="543">
        <v>3</v>
      </c>
      <c r="C127" s="543">
        <v>2.5</v>
      </c>
      <c r="D127" s="543">
        <v>2</v>
      </c>
      <c r="E127" s="543">
        <v>1.5</v>
      </c>
      <c r="F127" s="543">
        <v>1</v>
      </c>
      <c r="G127" s="543" t="s">
        <v>940</v>
      </c>
      <c r="H127" s="543" t="s">
        <v>940</v>
      </c>
      <c r="I127" s="31" t="str">
        <f t="shared" si="4"/>
        <v>Cond4</v>
      </c>
    </row>
    <row r="128" spans="1:9" ht="14.25" x14ac:dyDescent="0.2">
      <c r="A128" s="88" t="str">
        <f>'G-1 All Habitats'!B127</f>
        <v>Intertidal Hard Structures - Artificial hard structures</v>
      </c>
      <c r="B128" s="543">
        <v>3</v>
      </c>
      <c r="C128" s="543">
        <v>2.5</v>
      </c>
      <c r="D128" s="543">
        <v>2</v>
      </c>
      <c r="E128" s="543">
        <v>1.5</v>
      </c>
      <c r="F128" s="543">
        <v>1</v>
      </c>
      <c r="G128" s="543" t="s">
        <v>940</v>
      </c>
      <c r="H128" s="543" t="s">
        <v>940</v>
      </c>
      <c r="I128" s="31" t="str">
        <f t="shared" si="4"/>
        <v>Cond4</v>
      </c>
    </row>
    <row r="129" spans="1:9" ht="14.25" x14ac:dyDescent="0.2">
      <c r="A129" s="88" t="str">
        <f>'G-1 All Habitats'!B128</f>
        <v>Intertidal Hard Structures - Artificial features of hard structures</v>
      </c>
      <c r="B129" s="543">
        <v>3</v>
      </c>
      <c r="C129" s="543">
        <v>2.5</v>
      </c>
      <c r="D129" s="543">
        <v>2</v>
      </c>
      <c r="E129" s="543">
        <v>1.5</v>
      </c>
      <c r="F129" s="543">
        <v>1</v>
      </c>
      <c r="G129" s="543" t="s">
        <v>940</v>
      </c>
      <c r="H129" s="543" t="s">
        <v>940</v>
      </c>
      <c r="I129" s="31" t="str">
        <f t="shared" si="4"/>
        <v>Cond4</v>
      </c>
    </row>
    <row r="130" spans="1:9" ht="14.25" x14ac:dyDescent="0.2">
      <c r="A130" s="88" t="str">
        <f>'G-1 All Habitats'!B129</f>
        <v>Intertidal Hard Structures - Artificial hard structures with Integrated Greening of Grey Infrastructure (IGGI)</v>
      </c>
      <c r="B130" s="543">
        <v>3</v>
      </c>
      <c r="C130" s="543">
        <v>2.5</v>
      </c>
      <c r="D130" s="543">
        <v>2</v>
      </c>
      <c r="E130" s="543">
        <v>1.5</v>
      </c>
      <c r="F130" s="543">
        <v>1</v>
      </c>
      <c r="G130" s="543" t="s">
        <v>940</v>
      </c>
      <c r="H130" s="543" t="s">
        <v>940</v>
      </c>
      <c r="I130" s="31" t="str">
        <f t="shared" si="4"/>
        <v>Cond4</v>
      </c>
    </row>
    <row r="131" spans="1:9" ht="14.25" x14ac:dyDescent="0.2"/>
    <row r="132" spans="1:9" ht="14.25" x14ac:dyDescent="0.2"/>
    <row r="133" spans="1:9" ht="14.45" customHeight="1" x14ac:dyDescent="0.2"/>
    <row r="134" spans="1:9" ht="14.45" customHeight="1" x14ac:dyDescent="0.2"/>
    <row r="135" spans="1:9" ht="14.45" customHeight="1" x14ac:dyDescent="0.2"/>
    <row r="136" spans="1:9" ht="14.45" customHeight="1" x14ac:dyDescent="0.2"/>
    <row r="137" spans="1:9" ht="14.45" customHeight="1" x14ac:dyDescent="0.2"/>
    <row r="138" spans="1:9" ht="14.45" customHeight="1" x14ac:dyDescent="0.2"/>
    <row r="139" spans="1:9" ht="14.45" customHeight="1" x14ac:dyDescent="0.2"/>
    <row r="140" spans="1:9" ht="14.45" customHeight="1" x14ac:dyDescent="0.2"/>
    <row r="141" spans="1:9" ht="14.45" customHeight="1" x14ac:dyDescent="0.2"/>
    <row r="142" spans="1:9" ht="14.45" customHeight="1" x14ac:dyDescent="0.2"/>
    <row r="143" spans="1:9" ht="14.45" customHeight="1" x14ac:dyDescent="0.2"/>
    <row r="144" spans="1:9" ht="14.45" customHeight="1" x14ac:dyDescent="0.2"/>
    <row r="145" ht="14.45" customHeight="1" x14ac:dyDescent="0.2"/>
    <row r="146" ht="14.45" customHeight="1" x14ac:dyDescent="0.2"/>
    <row r="147" ht="14.45" customHeight="1" x14ac:dyDescent="0.2"/>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5" zeroHeight="1" x14ac:dyDescent="0.25"/>
  <cols>
    <col min="1" max="1" width="9.140625" style="273" customWidth="1"/>
    <col min="2" max="2" width="44.28515625" style="273" customWidth="1"/>
    <col min="3" max="3" width="60.5703125" style="273" customWidth="1"/>
    <col min="4" max="4" width="22.42578125" style="273" customWidth="1"/>
    <col min="5" max="19" width="9.140625" style="273" customWidth="1"/>
    <col min="20" max="16384" width="9.140625" style="273" hidden="1"/>
  </cols>
  <sheetData>
    <row r="1" spans="2:4" ht="61.15" customHeight="1" x14ac:dyDescent="0.25"/>
    <row r="2" spans="2:4" ht="15.75" x14ac:dyDescent="0.25">
      <c r="B2" s="123" t="s">
        <v>1051</v>
      </c>
      <c r="C2" s="123" t="s">
        <v>1052</v>
      </c>
      <c r="D2" s="123" t="s">
        <v>1053</v>
      </c>
    </row>
    <row r="3" spans="2:4" x14ac:dyDescent="0.25">
      <c r="B3" s="648" t="s">
        <v>1054</v>
      </c>
      <c r="C3" s="543" t="s">
        <v>704</v>
      </c>
      <c r="D3" s="543" t="s">
        <v>29</v>
      </c>
    </row>
    <row r="4" spans="2:4" x14ac:dyDescent="0.25">
      <c r="B4" s="648" t="s">
        <v>1055</v>
      </c>
      <c r="C4" s="543" t="s">
        <v>702</v>
      </c>
      <c r="D4" s="543" t="s">
        <v>29</v>
      </c>
    </row>
    <row r="5" spans="2:4" x14ac:dyDescent="0.25">
      <c r="B5" s="648" t="s">
        <v>1056</v>
      </c>
      <c r="C5" s="543" t="s">
        <v>689</v>
      </c>
      <c r="D5" s="543" t="s">
        <v>159</v>
      </c>
    </row>
    <row r="6" spans="2:4" x14ac:dyDescent="0.25">
      <c r="B6" s="648" t="s">
        <v>1057</v>
      </c>
      <c r="C6" s="543" t="s">
        <v>702</v>
      </c>
      <c r="D6" s="543" t="s">
        <v>29</v>
      </c>
    </row>
    <row r="7" spans="2:4" x14ac:dyDescent="0.25">
      <c r="B7" s="648" t="s">
        <v>695</v>
      </c>
      <c r="C7" s="543" t="s">
        <v>697</v>
      </c>
      <c r="D7" s="543" t="s">
        <v>162</v>
      </c>
    </row>
    <row r="8" spans="2:4" x14ac:dyDescent="0.25">
      <c r="B8" s="648" t="s">
        <v>1058</v>
      </c>
      <c r="C8" s="543" t="s">
        <v>692</v>
      </c>
      <c r="D8" s="543" t="s">
        <v>159</v>
      </c>
    </row>
    <row r="9" spans="2:4" x14ac:dyDescent="0.25">
      <c r="B9" s="648" t="s">
        <v>1059</v>
      </c>
      <c r="C9" s="543" t="s">
        <v>697</v>
      </c>
      <c r="D9" s="543" t="s">
        <v>162</v>
      </c>
    </row>
    <row r="10" spans="2:4" x14ac:dyDescent="0.25">
      <c r="B10" s="648" t="s">
        <v>1060</v>
      </c>
      <c r="C10" s="543" t="s">
        <v>704</v>
      </c>
      <c r="D10" s="543" t="s">
        <v>29</v>
      </c>
    </row>
    <row r="11" spans="2:4" x14ac:dyDescent="0.25">
      <c r="B11" s="648" t="s">
        <v>1061</v>
      </c>
      <c r="C11" s="543" t="s">
        <v>689</v>
      </c>
      <c r="D11" s="543" t="s">
        <v>159</v>
      </c>
    </row>
    <row r="12" spans="2:4" x14ac:dyDescent="0.25">
      <c r="B12" s="648" t="s">
        <v>1062</v>
      </c>
      <c r="C12" s="543" t="s">
        <v>704</v>
      </c>
      <c r="D12" s="543" t="s">
        <v>29</v>
      </c>
    </row>
    <row r="13" spans="2:4" x14ac:dyDescent="0.25">
      <c r="B13" s="648" t="s">
        <v>1063</v>
      </c>
      <c r="C13" s="543" t="s">
        <v>512</v>
      </c>
      <c r="D13" s="543" t="s">
        <v>29</v>
      </c>
    </row>
    <row r="14" spans="2:4" x14ac:dyDescent="0.25">
      <c r="B14" s="648" t="s">
        <v>1064</v>
      </c>
      <c r="C14" s="543" t="s">
        <v>512</v>
      </c>
      <c r="D14" s="543" t="s">
        <v>29</v>
      </c>
    </row>
    <row r="15" spans="2:4" x14ac:dyDescent="0.25">
      <c r="B15" s="648" t="s">
        <v>1065</v>
      </c>
      <c r="C15" s="543" t="s">
        <v>512</v>
      </c>
      <c r="D15" s="543" t="s">
        <v>29</v>
      </c>
    </row>
    <row r="16" spans="2:4" x14ac:dyDescent="0.25">
      <c r="B16" s="648" t="s">
        <v>1066</v>
      </c>
      <c r="C16" s="543" t="s">
        <v>720</v>
      </c>
      <c r="D16" s="543" t="s">
        <v>159</v>
      </c>
    </row>
    <row r="17" spans="2:4" x14ac:dyDescent="0.25">
      <c r="B17" s="648" t="s">
        <v>1067</v>
      </c>
      <c r="C17" s="543" t="s">
        <v>720</v>
      </c>
      <c r="D17" s="543" t="s">
        <v>159</v>
      </c>
    </row>
    <row r="18" spans="2:4" x14ac:dyDescent="0.25">
      <c r="B18" s="648" t="s">
        <v>1068</v>
      </c>
      <c r="C18" s="543" t="s">
        <v>697</v>
      </c>
      <c r="D18" s="543" t="s">
        <v>29</v>
      </c>
    </row>
    <row r="19" spans="2:4" x14ac:dyDescent="0.25">
      <c r="B19" s="648" t="s">
        <v>1069</v>
      </c>
      <c r="C19" s="543" t="s">
        <v>720</v>
      </c>
      <c r="D19" s="543" t="s">
        <v>159</v>
      </c>
    </row>
    <row r="20" spans="2:4" x14ac:dyDescent="0.25">
      <c r="B20" s="648" t="s">
        <v>1070</v>
      </c>
      <c r="C20" s="543" t="s">
        <v>683</v>
      </c>
      <c r="D20" s="543" t="s">
        <v>159</v>
      </c>
    </row>
    <row r="21" spans="2:4" x14ac:dyDescent="0.25">
      <c r="B21" s="648" t="s">
        <v>1071</v>
      </c>
      <c r="C21" s="543" t="s">
        <v>683</v>
      </c>
      <c r="D21" s="543" t="s">
        <v>159</v>
      </c>
    </row>
    <row r="22" spans="2:4" x14ac:dyDescent="0.25">
      <c r="B22" s="648" t="s">
        <v>1072</v>
      </c>
      <c r="C22" s="543" t="s">
        <v>683</v>
      </c>
      <c r="D22" s="543" t="s">
        <v>159</v>
      </c>
    </row>
    <row r="23" spans="2:4" x14ac:dyDescent="0.25">
      <c r="B23" s="648" t="s">
        <v>1073</v>
      </c>
      <c r="C23" s="543" t="s">
        <v>683</v>
      </c>
      <c r="D23" s="543" t="s">
        <v>159</v>
      </c>
    </row>
    <row r="24" spans="2:4" x14ac:dyDescent="0.25">
      <c r="B24" s="648" t="s">
        <v>448</v>
      </c>
      <c r="C24" s="543" t="s">
        <v>472</v>
      </c>
      <c r="D24" s="543" t="s">
        <v>29</v>
      </c>
    </row>
    <row r="25" spans="2:4" x14ac:dyDescent="0.25">
      <c r="B25" s="648" t="s">
        <v>448</v>
      </c>
      <c r="C25" s="543" t="s">
        <v>482</v>
      </c>
      <c r="D25" s="543" t="s">
        <v>29</v>
      </c>
    </row>
    <row r="26" spans="2:4" x14ac:dyDescent="0.25">
      <c r="B26" s="648" t="s">
        <v>1074</v>
      </c>
      <c r="C26" s="543" t="s">
        <v>460</v>
      </c>
      <c r="D26" s="543" t="s">
        <v>401</v>
      </c>
    </row>
    <row r="27" spans="2:4" x14ac:dyDescent="0.25">
      <c r="B27" s="648" t="s">
        <v>1074</v>
      </c>
      <c r="C27" s="543" t="s">
        <v>488</v>
      </c>
      <c r="D27" s="543" t="s">
        <v>401</v>
      </c>
    </row>
    <row r="28" spans="2:4" x14ac:dyDescent="0.25">
      <c r="B28" s="648" t="s">
        <v>1075</v>
      </c>
      <c r="C28" s="543" t="s">
        <v>482</v>
      </c>
      <c r="D28" s="543" t="s">
        <v>29</v>
      </c>
    </row>
    <row r="29" spans="2:4" x14ac:dyDescent="0.25">
      <c r="B29" s="648" t="s">
        <v>1075</v>
      </c>
      <c r="C29" s="543" t="s">
        <v>472</v>
      </c>
      <c r="D29" s="543" t="s">
        <v>29</v>
      </c>
    </row>
    <row r="30" spans="2:4" x14ac:dyDescent="0.25">
      <c r="B30" s="648" t="s">
        <v>1076</v>
      </c>
      <c r="C30" s="543" t="s">
        <v>469</v>
      </c>
      <c r="D30" s="543" t="s">
        <v>162</v>
      </c>
    </row>
    <row r="31" spans="2:4" x14ac:dyDescent="0.25">
      <c r="B31" s="648" t="s">
        <v>468</v>
      </c>
      <c r="C31" s="543" t="s">
        <v>474</v>
      </c>
      <c r="D31" s="543" t="s">
        <v>29</v>
      </c>
    </row>
    <row r="32" spans="2:4" x14ac:dyDescent="0.25">
      <c r="B32" s="648" t="s">
        <v>1077</v>
      </c>
      <c r="C32" s="543" t="s">
        <v>465</v>
      </c>
      <c r="D32" s="543" t="s">
        <v>401</v>
      </c>
    </row>
    <row r="33" spans="2:4" x14ac:dyDescent="0.25">
      <c r="B33" s="649" t="s">
        <v>1078</v>
      </c>
      <c r="C33" s="570" t="s">
        <v>474</v>
      </c>
      <c r="D33" s="570" t="s">
        <v>29</v>
      </c>
    </row>
    <row r="34" spans="2:4" x14ac:dyDescent="0.25">
      <c r="B34" s="648" t="s">
        <v>1079</v>
      </c>
      <c r="C34" s="543" t="s">
        <v>469</v>
      </c>
      <c r="D34" s="543" t="s">
        <v>162</v>
      </c>
    </row>
    <row r="35" spans="2:4" x14ac:dyDescent="0.25">
      <c r="B35" s="648" t="s">
        <v>458</v>
      </c>
      <c r="C35" s="543" t="s">
        <v>485</v>
      </c>
      <c r="D35" s="543" t="s">
        <v>159</v>
      </c>
    </row>
    <row r="36" spans="2:4" x14ac:dyDescent="0.25">
      <c r="B36" s="648" t="s">
        <v>458</v>
      </c>
      <c r="C36" s="543" t="s">
        <v>455</v>
      </c>
      <c r="D36" s="543" t="s">
        <v>159</v>
      </c>
    </row>
    <row r="37" spans="2:4" x14ac:dyDescent="0.25">
      <c r="B37" s="648" t="s">
        <v>1080</v>
      </c>
      <c r="C37" s="543" t="s">
        <v>455</v>
      </c>
      <c r="D37" s="543" t="s">
        <v>159</v>
      </c>
    </row>
    <row r="38" spans="2:4" x14ac:dyDescent="0.25">
      <c r="B38" s="648" t="s">
        <v>1080</v>
      </c>
      <c r="C38" s="543" t="s">
        <v>485</v>
      </c>
      <c r="D38" s="543" t="s">
        <v>159</v>
      </c>
    </row>
    <row r="39" spans="2:4" ht="25.5" x14ac:dyDescent="0.25">
      <c r="B39" s="648" t="s">
        <v>1081</v>
      </c>
      <c r="C39" s="543" t="s">
        <v>485</v>
      </c>
      <c r="D39" s="543" t="s">
        <v>159</v>
      </c>
    </row>
    <row r="40" spans="2:4" ht="25.5" x14ac:dyDescent="0.25">
      <c r="B40" s="648" t="s">
        <v>1081</v>
      </c>
      <c r="C40" s="543" t="s">
        <v>455</v>
      </c>
      <c r="D40" s="543" t="s">
        <v>159</v>
      </c>
    </row>
    <row r="41" spans="2:4" x14ac:dyDescent="0.25">
      <c r="B41" s="648" t="s">
        <v>1082</v>
      </c>
      <c r="C41" s="543" t="s">
        <v>469</v>
      </c>
      <c r="D41" s="543" t="s">
        <v>162</v>
      </c>
    </row>
    <row r="42" spans="2:4" x14ac:dyDescent="0.25">
      <c r="B42" s="648" t="s">
        <v>1083</v>
      </c>
      <c r="C42" s="543" t="s">
        <v>469</v>
      </c>
      <c r="D42" s="543" t="s">
        <v>162</v>
      </c>
    </row>
    <row r="43" spans="2:4" x14ac:dyDescent="0.25">
      <c r="B43" s="648" t="s">
        <v>1084</v>
      </c>
      <c r="C43" s="543" t="s">
        <v>674</v>
      </c>
      <c r="D43" s="543" t="s">
        <v>401</v>
      </c>
    </row>
    <row r="44" spans="2:4" x14ac:dyDescent="0.25">
      <c r="B44" s="648" t="s">
        <v>1084</v>
      </c>
      <c r="C44" s="543" t="s">
        <v>474</v>
      </c>
      <c r="D44" s="543" t="s">
        <v>29</v>
      </c>
    </row>
    <row r="45" spans="2:4" x14ac:dyDescent="0.25">
      <c r="B45" s="648" t="s">
        <v>1084</v>
      </c>
      <c r="C45" s="543" t="s">
        <v>469</v>
      </c>
      <c r="D45" s="543" t="s">
        <v>162</v>
      </c>
    </row>
    <row r="46" spans="2:4" x14ac:dyDescent="0.25">
      <c r="B46" s="648" t="s">
        <v>1085</v>
      </c>
      <c r="C46" s="543" t="s">
        <v>469</v>
      </c>
      <c r="D46" s="543" t="s">
        <v>162</v>
      </c>
    </row>
    <row r="47" spans="2:4" x14ac:dyDescent="0.25">
      <c r="B47" s="648" t="s">
        <v>1086</v>
      </c>
      <c r="C47" s="543" t="s">
        <v>577</v>
      </c>
      <c r="D47" s="543" t="s">
        <v>159</v>
      </c>
    </row>
    <row r="48" spans="2:4" x14ac:dyDescent="0.25">
      <c r="B48" s="648" t="s">
        <v>1087</v>
      </c>
      <c r="C48" s="543" t="s">
        <v>573</v>
      </c>
      <c r="D48" s="543" t="s">
        <v>159</v>
      </c>
    </row>
    <row r="49" spans="2:4" x14ac:dyDescent="0.25">
      <c r="B49" s="648" t="s">
        <v>1088</v>
      </c>
      <c r="C49" s="543" t="s">
        <v>573</v>
      </c>
      <c r="D49" s="543" t="s">
        <v>159</v>
      </c>
    </row>
    <row r="50" spans="2:4" x14ac:dyDescent="0.25">
      <c r="B50" s="648" t="s">
        <v>1089</v>
      </c>
      <c r="C50" s="543" t="s">
        <v>573</v>
      </c>
      <c r="D50" s="543" t="s">
        <v>159</v>
      </c>
    </row>
    <row r="51" spans="2:4" x14ac:dyDescent="0.25">
      <c r="B51" s="648" t="s">
        <v>1090</v>
      </c>
      <c r="C51" s="543" t="s">
        <v>573</v>
      </c>
      <c r="D51" s="543" t="s">
        <v>159</v>
      </c>
    </row>
    <row r="52" spans="2:4" x14ac:dyDescent="0.25">
      <c r="B52" s="648" t="s">
        <v>1091</v>
      </c>
      <c r="C52" s="543" t="s">
        <v>573</v>
      </c>
      <c r="D52" s="543" t="s">
        <v>159</v>
      </c>
    </row>
    <row r="53" spans="2:4" x14ac:dyDescent="0.25">
      <c r="B53" s="648" t="s">
        <v>1092</v>
      </c>
      <c r="C53" s="543" t="s">
        <v>573</v>
      </c>
      <c r="D53" s="543" t="s">
        <v>159</v>
      </c>
    </row>
    <row r="54" spans="2:4" x14ac:dyDescent="0.25">
      <c r="B54" s="648" t="s">
        <v>1093</v>
      </c>
      <c r="C54" s="543" t="s">
        <v>592</v>
      </c>
      <c r="D54" s="543" t="s">
        <v>159</v>
      </c>
    </row>
    <row r="55" spans="2:4" x14ac:dyDescent="0.25">
      <c r="B55" s="648" t="s">
        <v>1094</v>
      </c>
      <c r="C55" s="543" t="s">
        <v>592</v>
      </c>
      <c r="D55" s="543" t="s">
        <v>159</v>
      </c>
    </row>
    <row r="56" spans="2:4" x14ac:dyDescent="0.25">
      <c r="B56" s="648" t="s">
        <v>1095</v>
      </c>
      <c r="C56" s="543" t="s">
        <v>592</v>
      </c>
      <c r="D56" s="543" t="s">
        <v>159</v>
      </c>
    </row>
    <row r="57" spans="2:4" x14ac:dyDescent="0.25">
      <c r="B57" s="648" t="s">
        <v>1096</v>
      </c>
      <c r="C57" s="543" t="s">
        <v>592</v>
      </c>
      <c r="D57" s="543" t="s">
        <v>159</v>
      </c>
    </row>
    <row r="58" spans="2:4" x14ac:dyDescent="0.25">
      <c r="B58" s="648" t="s">
        <v>1096</v>
      </c>
      <c r="C58" s="543" t="s">
        <v>1097</v>
      </c>
      <c r="D58" s="543" t="s">
        <v>159</v>
      </c>
    </row>
    <row r="59" spans="2:4" x14ac:dyDescent="0.25">
      <c r="B59" s="648" t="s">
        <v>1098</v>
      </c>
      <c r="C59" s="543" t="s">
        <v>592</v>
      </c>
      <c r="D59" s="543" t="s">
        <v>159</v>
      </c>
    </row>
    <row r="60" spans="2:4" x14ac:dyDescent="0.25">
      <c r="B60" s="648" t="s">
        <v>1098</v>
      </c>
      <c r="C60" s="543" t="s">
        <v>465</v>
      </c>
      <c r="D60" s="543" t="s">
        <v>401</v>
      </c>
    </row>
    <row r="61" spans="2:4" x14ac:dyDescent="0.25">
      <c r="B61" s="648" t="s">
        <v>1098</v>
      </c>
      <c r="C61" s="543" t="s">
        <v>460</v>
      </c>
      <c r="D61" s="543" t="s">
        <v>401</v>
      </c>
    </row>
    <row r="62" spans="2:4" x14ac:dyDescent="0.25">
      <c r="B62" s="648" t="s">
        <v>1098</v>
      </c>
      <c r="C62" s="543" t="s">
        <v>472</v>
      </c>
      <c r="D62" s="543" t="s">
        <v>29</v>
      </c>
    </row>
    <row r="63" spans="2:4" x14ac:dyDescent="0.25">
      <c r="B63" s="648" t="s">
        <v>1099</v>
      </c>
      <c r="C63" s="543" t="s">
        <v>592</v>
      </c>
      <c r="D63" s="543" t="s">
        <v>159</v>
      </c>
    </row>
    <row r="64" spans="2:4" x14ac:dyDescent="0.25">
      <c r="B64" s="648" t="s">
        <v>1099</v>
      </c>
      <c r="C64" s="573" t="s">
        <v>507</v>
      </c>
      <c r="D64" s="543" t="s">
        <v>159</v>
      </c>
    </row>
    <row r="65" spans="2:4" x14ac:dyDescent="0.25">
      <c r="B65" s="648" t="s">
        <v>1100</v>
      </c>
      <c r="C65" s="543" t="s">
        <v>1101</v>
      </c>
      <c r="D65" s="543" t="s">
        <v>401</v>
      </c>
    </row>
    <row r="66" spans="2:4" x14ac:dyDescent="0.25">
      <c r="B66" s="648" t="s">
        <v>1100</v>
      </c>
      <c r="C66" s="543" t="s">
        <v>1102</v>
      </c>
      <c r="D66" s="543" t="s">
        <v>29</v>
      </c>
    </row>
    <row r="67" spans="2:4" x14ac:dyDescent="0.25">
      <c r="B67" s="648" t="s">
        <v>1100</v>
      </c>
      <c r="C67" s="543" t="s">
        <v>542</v>
      </c>
      <c r="D67" s="543" t="s">
        <v>159</v>
      </c>
    </row>
    <row r="68" spans="2:4" x14ac:dyDescent="0.25">
      <c r="B68" s="648" t="s">
        <v>1100</v>
      </c>
      <c r="C68" s="543" t="s">
        <v>545</v>
      </c>
      <c r="D68" s="543" t="s">
        <v>159</v>
      </c>
    </row>
    <row r="69" spans="2:4" x14ac:dyDescent="0.25">
      <c r="B69" s="648" t="s">
        <v>1100</v>
      </c>
      <c r="C69" s="543" t="s">
        <v>548</v>
      </c>
      <c r="D69" s="543" t="s">
        <v>159</v>
      </c>
    </row>
    <row r="70" spans="2:4" x14ac:dyDescent="0.25">
      <c r="B70" s="648" t="s">
        <v>1100</v>
      </c>
      <c r="C70" s="543" t="s">
        <v>551</v>
      </c>
      <c r="D70" s="543" t="s">
        <v>159</v>
      </c>
    </row>
    <row r="71" spans="2:4" x14ac:dyDescent="0.25">
      <c r="B71" s="648" t="s">
        <v>1100</v>
      </c>
      <c r="C71" s="543" t="s">
        <v>554</v>
      </c>
      <c r="D71" s="543" t="s">
        <v>159</v>
      </c>
    </row>
    <row r="72" spans="2:4" x14ac:dyDescent="0.25">
      <c r="B72" s="648" t="s">
        <v>1100</v>
      </c>
      <c r="C72" s="543" t="s">
        <v>1103</v>
      </c>
      <c r="D72" s="543" t="s">
        <v>159</v>
      </c>
    </row>
    <row r="73" spans="2:4" x14ac:dyDescent="0.25">
      <c r="B73" s="648" t="s">
        <v>1100</v>
      </c>
      <c r="C73" s="543" t="s">
        <v>1104</v>
      </c>
      <c r="D73" s="543" t="s">
        <v>29</v>
      </c>
    </row>
    <row r="74" spans="2:4" x14ac:dyDescent="0.25">
      <c r="B74" s="648" t="s">
        <v>1100</v>
      </c>
      <c r="C74" s="543" t="s">
        <v>1105</v>
      </c>
      <c r="D74" s="543" t="s">
        <v>29</v>
      </c>
    </row>
    <row r="75" spans="2:4" x14ac:dyDescent="0.25">
      <c r="B75" s="648" t="s">
        <v>1100</v>
      </c>
      <c r="C75" s="543" t="s">
        <v>565</v>
      </c>
      <c r="D75" s="543" t="s">
        <v>159</v>
      </c>
    </row>
    <row r="76" spans="2:4" x14ac:dyDescent="0.25">
      <c r="B76" s="648" t="s">
        <v>1106</v>
      </c>
      <c r="C76" s="543" t="s">
        <v>507</v>
      </c>
      <c r="D76" s="543" t="s">
        <v>159</v>
      </c>
    </row>
    <row r="77" spans="2:4" x14ac:dyDescent="0.25">
      <c r="B77" s="648" t="s">
        <v>1106</v>
      </c>
      <c r="C77" s="543" t="s">
        <v>531</v>
      </c>
      <c r="D77" s="543" t="s">
        <v>159</v>
      </c>
    </row>
    <row r="78" spans="2:4" x14ac:dyDescent="0.25">
      <c r="B78" s="648" t="s">
        <v>1107</v>
      </c>
      <c r="C78" s="543" t="s">
        <v>507</v>
      </c>
      <c r="D78" s="543" t="s">
        <v>159</v>
      </c>
    </row>
    <row r="79" spans="2:4" x14ac:dyDescent="0.25">
      <c r="B79" s="648" t="s">
        <v>1107</v>
      </c>
      <c r="C79" s="543" t="s">
        <v>531</v>
      </c>
      <c r="D79" s="543" t="s">
        <v>159</v>
      </c>
    </row>
    <row r="80" spans="2:4" x14ac:dyDescent="0.25">
      <c r="B80" s="648" t="s">
        <v>1108</v>
      </c>
      <c r="C80" s="543" t="s">
        <v>507</v>
      </c>
      <c r="D80" s="543" t="s">
        <v>159</v>
      </c>
    </row>
    <row r="81" spans="2:4" x14ac:dyDescent="0.25">
      <c r="B81" s="648" t="s">
        <v>1108</v>
      </c>
      <c r="C81" s="543" t="s">
        <v>531</v>
      </c>
      <c r="D81" s="543" t="s">
        <v>159</v>
      </c>
    </row>
    <row r="82" spans="2:4" x14ac:dyDescent="0.25">
      <c r="B82" s="648" t="s">
        <v>1109</v>
      </c>
      <c r="C82" s="543" t="s">
        <v>507</v>
      </c>
      <c r="D82" s="543" t="s">
        <v>159</v>
      </c>
    </row>
    <row r="83" spans="2:4" x14ac:dyDescent="0.25">
      <c r="B83" s="648" t="s">
        <v>1109</v>
      </c>
      <c r="C83" s="543" t="s">
        <v>531</v>
      </c>
      <c r="D83" s="543" t="s">
        <v>159</v>
      </c>
    </row>
    <row r="84" spans="2:4" x14ac:dyDescent="0.25">
      <c r="B84" s="648" t="s">
        <v>1110</v>
      </c>
      <c r="C84" s="543" t="s">
        <v>507</v>
      </c>
      <c r="D84" s="543" t="s">
        <v>159</v>
      </c>
    </row>
    <row r="85" spans="2:4" x14ac:dyDescent="0.25">
      <c r="B85" s="648" t="s">
        <v>1110</v>
      </c>
      <c r="C85" s="543" t="s">
        <v>531</v>
      </c>
      <c r="D85" s="543" t="s">
        <v>159</v>
      </c>
    </row>
    <row r="86" spans="2:4" x14ac:dyDescent="0.25">
      <c r="B86" s="648" t="s">
        <v>1111</v>
      </c>
      <c r="C86" s="543" t="s">
        <v>516</v>
      </c>
      <c r="D86" s="543" t="s">
        <v>401</v>
      </c>
    </row>
    <row r="87" spans="2:4" x14ac:dyDescent="0.25">
      <c r="B87" s="648" t="s">
        <v>1112</v>
      </c>
      <c r="C87" s="543" t="s">
        <v>507</v>
      </c>
      <c r="D87" s="543" t="s">
        <v>159</v>
      </c>
    </row>
    <row r="88" spans="2:4" x14ac:dyDescent="0.25">
      <c r="B88" s="648" t="s">
        <v>1113</v>
      </c>
      <c r="C88" s="543" t="s">
        <v>507</v>
      </c>
      <c r="D88" s="543" t="s">
        <v>159</v>
      </c>
    </row>
    <row r="89" spans="2:4" x14ac:dyDescent="0.25">
      <c r="B89" s="648" t="s">
        <v>1112</v>
      </c>
      <c r="C89" s="543" t="s">
        <v>531</v>
      </c>
      <c r="D89" s="543" t="s">
        <v>159</v>
      </c>
    </row>
    <row r="90" spans="2:4" x14ac:dyDescent="0.25">
      <c r="B90" s="648" t="s">
        <v>1113</v>
      </c>
      <c r="C90" s="543" t="s">
        <v>531</v>
      </c>
      <c r="D90" s="543" t="s">
        <v>159</v>
      </c>
    </row>
    <row r="91" spans="2:4" x14ac:dyDescent="0.25">
      <c r="B91" s="648" t="s">
        <v>229</v>
      </c>
      <c r="C91" s="543" t="s">
        <v>446</v>
      </c>
      <c r="D91" s="543" t="s">
        <v>162</v>
      </c>
    </row>
    <row r="92" spans="2:4" x14ac:dyDescent="0.25">
      <c r="B92" s="648" t="s">
        <v>1114</v>
      </c>
      <c r="C92" s="543" t="s">
        <v>446</v>
      </c>
      <c r="D92" s="543" t="s">
        <v>162</v>
      </c>
    </row>
    <row r="93" spans="2:4" x14ac:dyDescent="0.25">
      <c r="B93" s="648" t="s">
        <v>1115</v>
      </c>
      <c r="C93" s="543" t="s">
        <v>446</v>
      </c>
      <c r="D93" s="543" t="s">
        <v>162</v>
      </c>
    </row>
    <row r="94" spans="2:4" x14ac:dyDescent="0.25">
      <c r="B94" s="648" t="s">
        <v>1116</v>
      </c>
      <c r="C94" s="573" t="s">
        <v>584</v>
      </c>
      <c r="D94" s="543" t="s">
        <v>159</v>
      </c>
    </row>
    <row r="95" spans="2:4" x14ac:dyDescent="0.25">
      <c r="B95" s="648" t="s">
        <v>1117</v>
      </c>
      <c r="C95" s="543" t="s">
        <v>446</v>
      </c>
      <c r="D95" s="543" t="s">
        <v>29</v>
      </c>
    </row>
    <row r="96" spans="2:4" x14ac:dyDescent="0.25">
      <c r="B96" s="648" t="s">
        <v>1118</v>
      </c>
      <c r="C96" s="573" t="s">
        <v>580</v>
      </c>
      <c r="D96" s="543" t="s">
        <v>162</v>
      </c>
    </row>
    <row r="97" spans="2:4" x14ac:dyDescent="0.25">
      <c r="B97" s="648" t="s">
        <v>1119</v>
      </c>
      <c r="C97" s="573" t="s">
        <v>580</v>
      </c>
      <c r="D97" s="543" t="s">
        <v>162</v>
      </c>
    </row>
    <row r="98" spans="2:4" x14ac:dyDescent="0.25">
      <c r="B98" s="648" t="s">
        <v>655</v>
      </c>
      <c r="C98" s="543" t="s">
        <v>667</v>
      </c>
      <c r="D98" s="543" t="s">
        <v>401</v>
      </c>
    </row>
    <row r="99" spans="2:4" x14ac:dyDescent="0.25">
      <c r="B99" s="648" t="s">
        <v>1120</v>
      </c>
      <c r="C99" s="543" t="s">
        <v>667</v>
      </c>
      <c r="D99" s="543" t="s">
        <v>401</v>
      </c>
    </row>
    <row r="100" spans="2:4" x14ac:dyDescent="0.25">
      <c r="B100" s="648" t="s">
        <v>652</v>
      </c>
      <c r="C100" s="543" t="s">
        <v>653</v>
      </c>
      <c r="D100" s="543" t="s">
        <v>401</v>
      </c>
    </row>
    <row r="101" spans="2:4" x14ac:dyDescent="0.25">
      <c r="B101" s="648" t="s">
        <v>1121</v>
      </c>
      <c r="C101" s="543" t="s">
        <v>667</v>
      </c>
      <c r="D101" s="543" t="s">
        <v>401</v>
      </c>
    </row>
    <row r="102" spans="2:4" x14ac:dyDescent="0.25">
      <c r="B102" s="648" t="s">
        <v>1122</v>
      </c>
      <c r="C102" s="650" t="s">
        <v>680</v>
      </c>
      <c r="D102" s="543" t="s">
        <v>401</v>
      </c>
    </row>
    <row r="103" spans="2:4" x14ac:dyDescent="0.25">
      <c r="B103" s="648" t="s">
        <v>1123</v>
      </c>
      <c r="C103" s="543" t="s">
        <v>653</v>
      </c>
      <c r="D103" s="543" t="s">
        <v>401</v>
      </c>
    </row>
    <row r="104" spans="2:4" x14ac:dyDescent="0.25">
      <c r="B104" s="648" t="s">
        <v>1123</v>
      </c>
      <c r="C104" s="543" t="s">
        <v>667</v>
      </c>
      <c r="D104" s="543" t="s">
        <v>401</v>
      </c>
    </row>
    <row r="105" spans="2:4" x14ac:dyDescent="0.25">
      <c r="B105" s="648" t="s">
        <v>1124</v>
      </c>
      <c r="C105" s="543" t="s">
        <v>661</v>
      </c>
      <c r="D105" s="543" t="s">
        <v>401</v>
      </c>
    </row>
    <row r="106" spans="2:4" x14ac:dyDescent="0.25">
      <c r="B106" s="648" t="s">
        <v>1125</v>
      </c>
      <c r="C106" s="543" t="s">
        <v>661</v>
      </c>
      <c r="D106" s="543" t="s">
        <v>401</v>
      </c>
    </row>
    <row r="107" spans="2:4" x14ac:dyDescent="0.25">
      <c r="B107" s="648" t="s">
        <v>1126</v>
      </c>
      <c r="C107" s="543" t="s">
        <v>661</v>
      </c>
      <c r="D107" s="543" t="s">
        <v>401</v>
      </c>
    </row>
    <row r="108" spans="2:4" x14ac:dyDescent="0.25">
      <c r="B108" s="648" t="s">
        <v>1127</v>
      </c>
      <c r="C108" s="543" t="s">
        <v>661</v>
      </c>
      <c r="D108" s="543" t="s">
        <v>401</v>
      </c>
    </row>
    <row r="109" spans="2:4" x14ac:dyDescent="0.25">
      <c r="B109" s="648" t="s">
        <v>1128</v>
      </c>
      <c r="C109" s="543" t="s">
        <v>661</v>
      </c>
      <c r="D109" s="543" t="s">
        <v>401</v>
      </c>
    </row>
    <row r="110" spans="2:4" x14ac:dyDescent="0.25">
      <c r="B110" s="648" t="s">
        <v>1129</v>
      </c>
      <c r="C110" s="543" t="s">
        <v>1130</v>
      </c>
      <c r="D110" s="543" t="s">
        <v>401</v>
      </c>
    </row>
    <row r="111" spans="2:4" x14ac:dyDescent="0.25">
      <c r="B111" s="648" t="s">
        <v>1131</v>
      </c>
      <c r="C111" s="543" t="s">
        <v>1130</v>
      </c>
      <c r="D111" s="543" t="s">
        <v>401</v>
      </c>
    </row>
    <row r="112" spans="2:4" x14ac:dyDescent="0.25">
      <c r="B112" s="648" t="s">
        <v>1132</v>
      </c>
      <c r="C112" s="543" t="s">
        <v>1130</v>
      </c>
      <c r="D112" s="543" t="s">
        <v>401</v>
      </c>
    </row>
    <row r="113" spans="2:4" x14ac:dyDescent="0.25">
      <c r="B113" s="648" t="s">
        <v>1133</v>
      </c>
      <c r="C113" s="543" t="s">
        <v>657</v>
      </c>
      <c r="D113" s="543" t="s">
        <v>401</v>
      </c>
    </row>
    <row r="114" spans="2:4" x14ac:dyDescent="0.25">
      <c r="B114" s="648" t="s">
        <v>1134</v>
      </c>
      <c r="C114" s="543" t="s">
        <v>661</v>
      </c>
      <c r="D114" s="543" t="s">
        <v>401</v>
      </c>
    </row>
    <row r="115" spans="2:4" x14ac:dyDescent="0.25">
      <c r="B115" s="648" t="s">
        <v>1135</v>
      </c>
      <c r="C115" s="543" t="s">
        <v>661</v>
      </c>
      <c r="D115" s="543" t="s">
        <v>401</v>
      </c>
    </row>
    <row r="116" spans="2:4" x14ac:dyDescent="0.25">
      <c r="B116" s="648" t="s">
        <v>1135</v>
      </c>
      <c r="C116" s="573" t="s">
        <v>677</v>
      </c>
      <c r="D116" s="570" t="s">
        <v>159</v>
      </c>
    </row>
    <row r="117" spans="2:4" x14ac:dyDescent="0.25">
      <c r="B117" s="648" t="s">
        <v>1136</v>
      </c>
      <c r="C117" s="543" t="s">
        <v>1137</v>
      </c>
      <c r="D117" s="585"/>
    </row>
    <row r="118" spans="2:4" x14ac:dyDescent="0.25">
      <c r="B118" s="648" t="s">
        <v>1138</v>
      </c>
      <c r="C118" s="573" t="s">
        <v>677</v>
      </c>
      <c r="D118" s="570" t="s">
        <v>159</v>
      </c>
    </row>
    <row r="119" spans="2:4" x14ac:dyDescent="0.25">
      <c r="B119" s="648" t="s">
        <v>1139</v>
      </c>
      <c r="C119" s="543" t="s">
        <v>584</v>
      </c>
      <c r="D119" s="543" t="s">
        <v>159</v>
      </c>
    </row>
    <row r="120" spans="2:4" x14ac:dyDescent="0.25">
      <c r="B120" s="648" t="s">
        <v>1140</v>
      </c>
      <c r="C120" s="573" t="s">
        <v>597</v>
      </c>
      <c r="D120" s="543" t="s">
        <v>29</v>
      </c>
    </row>
    <row r="121" spans="2:4" x14ac:dyDescent="0.25">
      <c r="B121" s="648" t="s">
        <v>1141</v>
      </c>
      <c r="C121" s="543" t="s">
        <v>584</v>
      </c>
      <c r="D121" s="543" t="s">
        <v>159</v>
      </c>
    </row>
    <row r="122" spans="2:4" x14ac:dyDescent="0.25">
      <c r="B122" s="648" t="s">
        <v>1142</v>
      </c>
      <c r="C122" s="573" t="s">
        <v>597</v>
      </c>
      <c r="D122" s="543" t="s">
        <v>29</v>
      </c>
    </row>
    <row r="123" spans="2:4" x14ac:dyDescent="0.25">
      <c r="B123" s="648" t="s">
        <v>1143</v>
      </c>
      <c r="C123" s="543" t="s">
        <v>584</v>
      </c>
      <c r="D123" s="543" t="s">
        <v>159</v>
      </c>
    </row>
    <row r="124" spans="2:4" x14ac:dyDescent="0.25">
      <c r="B124" s="648" t="s">
        <v>1144</v>
      </c>
      <c r="C124" s="543" t="s">
        <v>584</v>
      </c>
      <c r="D124" s="543" t="s">
        <v>159</v>
      </c>
    </row>
    <row r="125" spans="2:4" x14ac:dyDescent="0.25">
      <c r="B125" s="648" t="s">
        <v>1145</v>
      </c>
      <c r="C125" s="543" t="s">
        <v>584</v>
      </c>
      <c r="D125" s="543" t="s">
        <v>159</v>
      </c>
    </row>
    <row r="126" spans="2:4" x14ac:dyDescent="0.25">
      <c r="B126" s="648" t="s">
        <v>1146</v>
      </c>
      <c r="C126" s="543" t="s">
        <v>584</v>
      </c>
      <c r="D126" s="543" t="s">
        <v>159</v>
      </c>
    </row>
    <row r="127" spans="2:4" x14ac:dyDescent="0.25">
      <c r="B127" s="648" t="s">
        <v>1147</v>
      </c>
      <c r="C127" s="543" t="s">
        <v>584</v>
      </c>
      <c r="D127" s="543" t="s">
        <v>159</v>
      </c>
    </row>
    <row r="128" spans="2:4" x14ac:dyDescent="0.25">
      <c r="B128" s="648" t="s">
        <v>588</v>
      </c>
      <c r="C128" s="543" t="s">
        <v>589</v>
      </c>
      <c r="D128" s="543" t="s">
        <v>401</v>
      </c>
    </row>
    <row r="129" spans="2:4" x14ac:dyDescent="0.25">
      <c r="B129" s="648" t="s">
        <v>1148</v>
      </c>
      <c r="C129" s="543" t="s">
        <v>597</v>
      </c>
      <c r="D129" s="543" t="s">
        <v>29</v>
      </c>
    </row>
    <row r="130" spans="2:4" x14ac:dyDescent="0.25">
      <c r="B130" s="648" t="s">
        <v>1149</v>
      </c>
      <c r="C130" s="543" t="s">
        <v>597</v>
      </c>
      <c r="D130" s="543" t="s">
        <v>29</v>
      </c>
    </row>
    <row r="131" spans="2:4" x14ac:dyDescent="0.25">
      <c r="B131" s="648" t="s">
        <v>1150</v>
      </c>
      <c r="C131" s="543" t="s">
        <v>597</v>
      </c>
      <c r="D131" s="543" t="s">
        <v>29</v>
      </c>
    </row>
    <row r="132" spans="2:4" x14ac:dyDescent="0.25">
      <c r="B132" s="648" t="s">
        <v>1151</v>
      </c>
      <c r="C132" s="543" t="s">
        <v>597</v>
      </c>
      <c r="D132" s="543" t="s">
        <v>29</v>
      </c>
    </row>
    <row r="133" spans="2:4" x14ac:dyDescent="0.25">
      <c r="B133" s="648" t="s">
        <v>1151</v>
      </c>
      <c r="C133" s="543" t="s">
        <v>597</v>
      </c>
      <c r="D133" s="543" t="s">
        <v>29</v>
      </c>
    </row>
    <row r="134" spans="2:4" x14ac:dyDescent="0.25">
      <c r="B134" s="648" t="s">
        <v>1151</v>
      </c>
      <c r="C134" s="543" t="s">
        <v>597</v>
      </c>
      <c r="D134" s="543" t="s">
        <v>29</v>
      </c>
    </row>
    <row r="135" spans="2:4" x14ac:dyDescent="0.25">
      <c r="B135" s="648" t="s">
        <v>1151</v>
      </c>
      <c r="C135" s="543" t="s">
        <v>597</v>
      </c>
      <c r="D135" s="543" t="s">
        <v>29</v>
      </c>
    </row>
    <row r="136" spans="2:4" x14ac:dyDescent="0.25">
      <c r="B136" s="648" t="s">
        <v>1151</v>
      </c>
      <c r="C136" s="543" t="s">
        <v>597</v>
      </c>
      <c r="D136" s="543" t="s">
        <v>29</v>
      </c>
    </row>
    <row r="137" spans="2:4" x14ac:dyDescent="0.25">
      <c r="B137" s="648" t="s">
        <v>1151</v>
      </c>
      <c r="C137" s="543" t="s">
        <v>597</v>
      </c>
      <c r="D137" s="543" t="s">
        <v>29</v>
      </c>
    </row>
    <row r="138" spans="2:4" x14ac:dyDescent="0.25">
      <c r="B138" s="648" t="s">
        <v>1152</v>
      </c>
      <c r="C138" s="543" t="s">
        <v>1153</v>
      </c>
      <c r="D138" s="543" t="s">
        <v>162</v>
      </c>
    </row>
    <row r="139" spans="2:4" x14ac:dyDescent="0.25">
      <c r="B139" s="648" t="s">
        <v>1154</v>
      </c>
      <c r="C139" s="543" t="s">
        <v>1153</v>
      </c>
      <c r="D139" s="543" t="s">
        <v>162</v>
      </c>
    </row>
    <row r="140" spans="2:4" x14ac:dyDescent="0.25">
      <c r="B140" s="648" t="s">
        <v>1155</v>
      </c>
      <c r="C140" s="543" t="s">
        <v>1153</v>
      </c>
      <c r="D140" s="543" t="s">
        <v>162</v>
      </c>
    </row>
    <row r="141" spans="2:4" x14ac:dyDescent="0.25">
      <c r="B141" s="648" t="s">
        <v>1156</v>
      </c>
      <c r="C141" s="543" t="s">
        <v>601</v>
      </c>
      <c r="D141" s="543" t="s">
        <v>423</v>
      </c>
    </row>
    <row r="142" spans="2:4" x14ac:dyDescent="0.25">
      <c r="B142" s="648" t="s">
        <v>1157</v>
      </c>
      <c r="C142" s="543" t="s">
        <v>421</v>
      </c>
      <c r="D142" s="543" t="s">
        <v>162</v>
      </c>
    </row>
    <row r="143" spans="2:4" x14ac:dyDescent="0.25">
      <c r="B143" s="648" t="s">
        <v>1158</v>
      </c>
      <c r="C143" s="543" t="s">
        <v>421</v>
      </c>
      <c r="D143" s="543" t="s">
        <v>162</v>
      </c>
    </row>
    <row r="144" spans="2:4" x14ac:dyDescent="0.25">
      <c r="B144" s="648" t="s">
        <v>1159</v>
      </c>
      <c r="C144" s="543" t="s">
        <v>469</v>
      </c>
      <c r="D144" s="543" t="s">
        <v>162</v>
      </c>
    </row>
    <row r="145" spans="2:4" x14ac:dyDescent="0.25">
      <c r="B145" s="648" t="s">
        <v>1160</v>
      </c>
      <c r="C145" s="573" t="s">
        <v>580</v>
      </c>
      <c r="D145" s="543" t="s">
        <v>162</v>
      </c>
    </row>
    <row r="146" spans="2:4" x14ac:dyDescent="0.25">
      <c r="B146" s="648" t="s">
        <v>628</v>
      </c>
      <c r="C146" s="543" t="s">
        <v>629</v>
      </c>
      <c r="D146" s="543" t="s">
        <v>162</v>
      </c>
    </row>
    <row r="147" spans="2:4" x14ac:dyDescent="0.25">
      <c r="B147" s="648" t="s">
        <v>1161</v>
      </c>
      <c r="C147" s="543" t="s">
        <v>609</v>
      </c>
      <c r="D147" s="543" t="s">
        <v>423</v>
      </c>
    </row>
    <row r="148" spans="2:4" x14ac:dyDescent="0.25">
      <c r="B148" s="648" t="s">
        <v>1162</v>
      </c>
      <c r="C148" s="543" t="s">
        <v>609</v>
      </c>
      <c r="D148" s="543" t="s">
        <v>423</v>
      </c>
    </row>
    <row r="149" spans="2:4" x14ac:dyDescent="0.25">
      <c r="B149" s="648" t="s">
        <v>1163</v>
      </c>
      <c r="C149" s="543" t="s">
        <v>613</v>
      </c>
      <c r="D149" s="543" t="s">
        <v>423</v>
      </c>
    </row>
    <row r="150" spans="2:4" x14ac:dyDescent="0.25">
      <c r="B150" s="648" t="s">
        <v>1164</v>
      </c>
      <c r="C150" s="543" t="s">
        <v>613</v>
      </c>
      <c r="D150" s="543" t="s">
        <v>423</v>
      </c>
    </row>
    <row r="151" spans="2:4" x14ac:dyDescent="0.25">
      <c r="B151" s="648" t="s">
        <v>1165</v>
      </c>
      <c r="C151" s="543" t="s">
        <v>613</v>
      </c>
      <c r="D151" s="543" t="s">
        <v>423</v>
      </c>
    </row>
    <row r="152" spans="2:4" x14ac:dyDescent="0.25">
      <c r="B152" s="648" t="s">
        <v>1166</v>
      </c>
      <c r="C152" s="543" t="s">
        <v>613</v>
      </c>
      <c r="D152" s="543" t="s">
        <v>423</v>
      </c>
    </row>
    <row r="153" spans="2:4" x14ac:dyDescent="0.25">
      <c r="B153" s="648" t="s">
        <v>1167</v>
      </c>
      <c r="C153" s="543" t="s">
        <v>648</v>
      </c>
      <c r="D153" s="543" t="s">
        <v>162</v>
      </c>
    </row>
    <row r="154" spans="2:4" x14ac:dyDescent="0.25"/>
    <row r="155" spans="2:4" x14ac:dyDescent="0.25"/>
    <row r="156" spans="2:4" x14ac:dyDescent="0.25"/>
    <row r="157" spans="2:4" x14ac:dyDescent="0.25"/>
    <row r="158" spans="2:4" x14ac:dyDescent="0.25">
      <c r="B158" s="306"/>
    </row>
    <row r="159" spans="2:4" x14ac:dyDescent="0.25">
      <c r="B159" s="306"/>
    </row>
    <row r="160" spans="2:4" x14ac:dyDescent="0.25">
      <c r="B160" s="306"/>
    </row>
    <row r="161" spans="2:2" x14ac:dyDescent="0.25">
      <c r="B161" s="306"/>
    </row>
    <row r="162" spans="2:2" x14ac:dyDescent="0.25">
      <c r="B162" s="306"/>
    </row>
    <row r="163" spans="2:2" x14ac:dyDescent="0.25">
      <c r="B163" s="306"/>
    </row>
    <row r="164" spans="2:2" hidden="1" x14ac:dyDescent="0.25">
      <c r="B164" s="306"/>
    </row>
    <row r="165" spans="2:2" hidden="1" x14ac:dyDescent="0.25">
      <c r="B165" s="306"/>
    </row>
    <row r="166" spans="2:2" hidden="1" x14ac:dyDescent="0.25">
      <c r="B166" s="306"/>
    </row>
    <row r="167" spans="2:2" hidden="1" x14ac:dyDescent="0.25">
      <c r="B167" s="306"/>
    </row>
    <row r="168" spans="2:2" hidden="1" x14ac:dyDescent="0.25">
      <c r="B168" s="306"/>
    </row>
    <row r="169" spans="2:2" hidden="1" x14ac:dyDescent="0.25">
      <c r="B169" s="306"/>
    </row>
    <row r="170" spans="2:2" hidden="1" x14ac:dyDescent="0.25">
      <c r="B170" s="306"/>
    </row>
    <row r="171" spans="2:2" hidden="1" x14ac:dyDescent="0.25">
      <c r="B171" s="306"/>
    </row>
    <row r="172" spans="2:2" hidden="1" x14ac:dyDescent="0.25">
      <c r="B172" s="306"/>
    </row>
    <row r="173" spans="2:2" hidden="1" x14ac:dyDescent="0.25">
      <c r="B173" s="306"/>
    </row>
    <row r="174" spans="2:2" hidden="1" x14ac:dyDescent="0.25">
      <c r="B174" s="306"/>
    </row>
    <row r="175" spans="2:2" hidden="1" x14ac:dyDescent="0.25">
      <c r="B175" s="306"/>
    </row>
    <row r="176" spans="2:2" hidden="1" x14ac:dyDescent="0.25">
      <c r="B176" s="306"/>
    </row>
    <row r="177" spans="2:2" hidden="1" x14ac:dyDescent="0.25">
      <c r="B177" s="306"/>
    </row>
    <row r="178" spans="2:2" hidden="1" x14ac:dyDescent="0.25">
      <c r="B178" s="306"/>
    </row>
    <row r="179" spans="2:2" hidden="1" x14ac:dyDescent="0.25">
      <c r="B179" s="306"/>
    </row>
    <row r="180" spans="2:2" hidden="1" x14ac:dyDescent="0.25">
      <c r="B180" s="306"/>
    </row>
    <row r="181" spans="2:2" hidden="1" x14ac:dyDescent="0.25">
      <c r="B181" s="306"/>
    </row>
    <row r="182" spans="2:2" hidden="1" x14ac:dyDescent="0.25">
      <c r="B182" s="306"/>
    </row>
    <row r="183" spans="2:2" hidden="1" x14ac:dyDescent="0.25">
      <c r="B183" s="306"/>
    </row>
    <row r="184" spans="2:2" hidden="1" x14ac:dyDescent="0.25">
      <c r="B184" s="306"/>
    </row>
    <row r="185" spans="2:2" hidden="1" x14ac:dyDescent="0.25">
      <c r="B185" s="306"/>
    </row>
    <row r="186" spans="2:2" hidden="1" x14ac:dyDescent="0.25">
      <c r="B186" s="306"/>
    </row>
    <row r="187" spans="2:2" hidden="1" x14ac:dyDescent="0.25">
      <c r="B187" s="306"/>
    </row>
    <row r="188" spans="2:2" hidden="1" x14ac:dyDescent="0.25">
      <c r="B188" s="306"/>
    </row>
    <row r="189" spans="2:2" hidden="1" x14ac:dyDescent="0.25">
      <c r="B189" s="306"/>
    </row>
    <row r="190" spans="2:2" hidden="1" x14ac:dyDescent="0.25">
      <c r="B190" s="306"/>
    </row>
    <row r="191" spans="2:2" hidden="1" x14ac:dyDescent="0.25">
      <c r="B191" s="306"/>
    </row>
    <row r="192" spans="2:2" hidden="1" x14ac:dyDescent="0.25">
      <c r="B192" s="306"/>
    </row>
    <row r="193" spans="2:2" hidden="1" x14ac:dyDescent="0.25">
      <c r="B193" s="306"/>
    </row>
    <row r="194" spans="2:2" hidden="1" x14ac:dyDescent="0.25">
      <c r="B194" s="306"/>
    </row>
    <row r="195" spans="2:2" hidden="1" x14ac:dyDescent="0.25">
      <c r="B195" s="306"/>
    </row>
    <row r="196" spans="2:2" hidden="1" x14ac:dyDescent="0.25">
      <c r="B196" s="306"/>
    </row>
    <row r="197" spans="2:2" hidden="1" x14ac:dyDescent="0.25">
      <c r="B197" s="306"/>
    </row>
    <row r="198" spans="2:2" hidden="1" x14ac:dyDescent="0.25">
      <c r="B198" s="306"/>
    </row>
    <row r="199" spans="2:2" hidden="1" x14ac:dyDescent="0.25">
      <c r="B199" s="306"/>
    </row>
    <row r="200" spans="2:2" hidden="1" x14ac:dyDescent="0.25">
      <c r="B200" s="306"/>
    </row>
    <row r="201" spans="2:2" hidden="1" x14ac:dyDescent="0.25">
      <c r="B201" s="306"/>
    </row>
    <row r="202" spans="2:2" hidden="1" x14ac:dyDescent="0.25">
      <c r="B202" s="306"/>
    </row>
    <row r="203" spans="2:2" hidden="1" x14ac:dyDescent="0.25">
      <c r="B203" s="306"/>
    </row>
    <row r="204" spans="2:2" hidden="1" x14ac:dyDescent="0.25">
      <c r="B204" s="306"/>
    </row>
    <row r="205" spans="2:2" hidden="1" x14ac:dyDescent="0.25">
      <c r="B205" s="306"/>
    </row>
    <row r="206" spans="2:2" hidden="1" x14ac:dyDescent="0.25">
      <c r="B206" s="306"/>
    </row>
    <row r="207" spans="2:2" hidden="1" x14ac:dyDescent="0.25">
      <c r="B207" s="306"/>
    </row>
    <row r="208" spans="2:2" hidden="1" x14ac:dyDescent="0.25">
      <c r="B208" s="306"/>
    </row>
    <row r="209" spans="2:2" hidden="1" x14ac:dyDescent="0.25">
      <c r="B209" s="306"/>
    </row>
    <row r="210" spans="2:2" hidden="1" x14ac:dyDescent="0.25">
      <c r="B210" s="306"/>
    </row>
    <row r="211" spans="2:2" hidden="1" x14ac:dyDescent="0.25">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40625"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x14ac:dyDescent="0.5">
      <c r="B1" s="16"/>
      <c r="C1" s="16"/>
      <c r="E1" s="17"/>
      <c r="F1" s="712"/>
      <c r="G1" s="712"/>
      <c r="H1" s="712"/>
      <c r="I1" s="712"/>
      <c r="J1" s="712"/>
      <c r="K1" s="713"/>
      <c r="L1" s="713"/>
      <c r="M1" s="713"/>
      <c r="N1" s="713"/>
      <c r="O1" s="713"/>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1084"/>
      <c r="E10" s="1084"/>
      <c r="F10" s="1084"/>
      <c r="G10" s="1084"/>
      <c r="H10" s="1084"/>
      <c r="I10" s="1084"/>
      <c r="J10" s="1084"/>
      <c r="K10" s="1084"/>
      <c r="L10" s="1084"/>
      <c r="M10" s="1084"/>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5" x14ac:dyDescent="0.25"/>
  <cols>
    <col min="1" max="1" width="41.28515625" style="273" customWidth="1"/>
    <col min="2" max="2" width="56.42578125" style="273" bestFit="1" customWidth="1"/>
    <col min="3" max="3" width="9.140625" style="273"/>
    <col min="4" max="4" width="48.85546875" style="273" customWidth="1"/>
    <col min="5" max="16384" width="9.140625" style="273"/>
  </cols>
  <sheetData>
    <row r="1" spans="1:4" s="274" customFormat="1" x14ac:dyDescent="0.25">
      <c r="A1" s="308" t="s">
        <v>1168</v>
      </c>
      <c r="B1" s="309" t="s">
        <v>1169</v>
      </c>
      <c r="D1" s="278" t="s">
        <v>1170</v>
      </c>
    </row>
    <row r="2" spans="1:4" x14ac:dyDescent="0.25">
      <c r="A2" s="658" t="s">
        <v>1171</v>
      </c>
      <c r="B2" s="659" t="s">
        <v>1172</v>
      </c>
      <c r="D2" s="658" t="str">
        <f>'G-1 All Habitats'!B3</f>
        <v>Cropland - Arable field margins cultivated annually</v>
      </c>
    </row>
    <row r="3" spans="1:4" x14ac:dyDescent="0.25">
      <c r="A3" s="658" t="s">
        <v>1173</v>
      </c>
      <c r="B3" s="659" t="s">
        <v>1174</v>
      </c>
      <c r="D3" s="658" t="str">
        <f>'G-1 All Habitats'!B4</f>
        <v>Cropland - Arable field margins game bird mix</v>
      </c>
    </row>
    <row r="4" spans="1:4" x14ac:dyDescent="0.25">
      <c r="A4" s="658" t="s">
        <v>1175</v>
      </c>
      <c r="B4" s="659" t="s">
        <v>1176</v>
      </c>
      <c r="D4" s="658" t="str">
        <f>'G-1 All Habitats'!B5</f>
        <v>Cropland - Arable field margins pollen &amp; nectar</v>
      </c>
    </row>
    <row r="5" spans="1:4" x14ac:dyDescent="0.25">
      <c r="A5" s="658" t="s">
        <v>1177</v>
      </c>
      <c r="B5" s="659" t="s">
        <v>1178</v>
      </c>
      <c r="D5" s="658" t="str">
        <f>'G-1 All Habitats'!B6</f>
        <v>Cropland - Arable field margins tussocky</v>
      </c>
    </row>
    <row r="6" spans="1:4" x14ac:dyDescent="0.25">
      <c r="A6" s="658" t="s">
        <v>1179</v>
      </c>
      <c r="B6" s="659" t="s">
        <v>1180</v>
      </c>
      <c r="D6" s="658" t="str">
        <f>'G-1 All Habitats'!B7</f>
        <v>Cropland - Cereal crops</v>
      </c>
    </row>
    <row r="7" spans="1:4" x14ac:dyDescent="0.25">
      <c r="A7" s="658" t="s">
        <v>1181</v>
      </c>
      <c r="B7" s="659" t="s">
        <v>1182</v>
      </c>
      <c r="D7" s="658" t="e">
        <f>'G-1 All Habitats'!#REF!</f>
        <v>#REF!</v>
      </c>
    </row>
    <row r="8" spans="1:4" x14ac:dyDescent="0.25">
      <c r="A8" s="658" t="s">
        <v>1183</v>
      </c>
      <c r="B8" s="659" t="s">
        <v>1184</v>
      </c>
      <c r="D8" s="658" t="str">
        <f>'G-1 All Habitats'!B8</f>
        <v>Cropland - Cereal crops winter stubble</v>
      </c>
    </row>
    <row r="9" spans="1:4" x14ac:dyDescent="0.25">
      <c r="A9" s="658" t="s">
        <v>1185</v>
      </c>
      <c r="B9" s="659" t="s">
        <v>1186</v>
      </c>
      <c r="D9" s="658" t="str">
        <f>'G-1 All Habitats'!B9</f>
        <v>Cropland - Horticulture</v>
      </c>
    </row>
    <row r="10" spans="1:4" x14ac:dyDescent="0.25">
      <c r="A10" s="658" t="s">
        <v>1187</v>
      </c>
      <c r="B10" s="659" t="s">
        <v>1188</v>
      </c>
      <c r="D10" s="658" t="str">
        <f>'G-1 All Habitats'!B10</f>
        <v>Cropland - Intensive orchards</v>
      </c>
    </row>
    <row r="11" spans="1:4" x14ac:dyDescent="0.25">
      <c r="A11" s="658" t="s">
        <v>1189</v>
      </c>
      <c r="B11" s="659" t="s">
        <v>1190</v>
      </c>
      <c r="D11" s="658" t="str">
        <f>'G-1 All Habitats'!B11</f>
        <v>Cropland - Non-cereal crops</v>
      </c>
    </row>
    <row r="12" spans="1:4" x14ac:dyDescent="0.25">
      <c r="A12" s="658" t="s">
        <v>1191</v>
      </c>
      <c r="B12" s="659" t="s">
        <v>1192</v>
      </c>
      <c r="D12" s="658" t="str">
        <f>'G-1 All Habitats'!B12</f>
        <v>Cropland - Temporary grass and clover leys</v>
      </c>
    </row>
    <row r="13" spans="1:4" x14ac:dyDescent="0.25">
      <c r="A13" s="658" t="s">
        <v>1193</v>
      </c>
      <c r="B13" s="659" t="s">
        <v>1194</v>
      </c>
      <c r="D13" s="658" t="str">
        <f>'G-1 All Habitats'!B13</f>
        <v>Grassland - Traditional orchards</v>
      </c>
    </row>
    <row r="14" spans="1:4" x14ac:dyDescent="0.25">
      <c r="A14" s="658" t="s">
        <v>1195</v>
      </c>
      <c r="B14" s="659" t="s">
        <v>1196</v>
      </c>
      <c r="D14" s="658" t="str">
        <f>'G-1 All Habitats'!B14</f>
        <v>Grassland - Bracken</v>
      </c>
    </row>
    <row r="15" spans="1:4" x14ac:dyDescent="0.25">
      <c r="A15" s="658" t="s">
        <v>1197</v>
      </c>
      <c r="B15" s="659" t="s">
        <v>1198</v>
      </c>
      <c r="D15" s="658" t="str">
        <f>'G-1 All Habitats'!B15</f>
        <v>Grassland - Floodplain Wetland Mosaic (CFGM)</v>
      </c>
    </row>
    <row r="16" spans="1:4" x14ac:dyDescent="0.25">
      <c r="A16" s="658" t="s">
        <v>1199</v>
      </c>
      <c r="B16" s="659" t="s">
        <v>1200</v>
      </c>
      <c r="D16" s="658" t="str">
        <f>'G-1 All Habitats'!B16</f>
        <v>Grassland - Lowland calcareous grassland</v>
      </c>
    </row>
    <row r="17" spans="1:4" x14ac:dyDescent="0.25">
      <c r="A17" s="658" t="s">
        <v>1201</v>
      </c>
      <c r="D17" s="658" t="str">
        <f>'G-1 All Habitats'!B17</f>
        <v>Grassland - Lowland dry acid grassland</v>
      </c>
    </row>
    <row r="18" spans="1:4" x14ac:dyDescent="0.25">
      <c r="A18" s="658" t="s">
        <v>1202</v>
      </c>
      <c r="D18" s="658" t="str">
        <f>'G-1 All Habitats'!B18</f>
        <v>Grassland - Lowland meadows</v>
      </c>
    </row>
    <row r="19" spans="1:4" x14ac:dyDescent="0.25">
      <c r="A19" s="658" t="s">
        <v>1203</v>
      </c>
      <c r="D19" s="658" t="str">
        <f>'G-1 All Habitats'!B19</f>
        <v>Grassland - Modified grassland</v>
      </c>
    </row>
    <row r="20" spans="1:4" x14ac:dyDescent="0.25">
      <c r="A20" s="658" t="s">
        <v>1204</v>
      </c>
      <c r="D20" s="658" t="str">
        <f>'G-1 All Habitats'!B20</f>
        <v>Grassland - Other lowland acid grassland</v>
      </c>
    </row>
    <row r="21" spans="1:4" x14ac:dyDescent="0.25">
      <c r="A21" s="658" t="s">
        <v>1205</v>
      </c>
      <c r="D21" s="658" t="str">
        <f>'G-1 All Habitats'!B21</f>
        <v>Grassland - Other neutral grassland</v>
      </c>
    </row>
    <row r="22" spans="1:4" x14ac:dyDescent="0.25">
      <c r="A22" s="658" t="s">
        <v>1206</v>
      </c>
      <c r="D22" s="658" t="str">
        <f>'G-1 All Habitats'!B22</f>
        <v>Grassland - Tall herb communities (H6430)</v>
      </c>
    </row>
    <row r="23" spans="1:4" x14ac:dyDescent="0.25">
      <c r="A23" s="658" t="s">
        <v>1207</v>
      </c>
      <c r="D23" s="658" t="str">
        <f>'G-1 All Habitats'!B23</f>
        <v>Grassland - Upland acid grassland</v>
      </c>
    </row>
    <row r="24" spans="1:4" x14ac:dyDescent="0.25">
      <c r="A24" s="658" t="s">
        <v>1208</v>
      </c>
      <c r="D24" s="658" t="str">
        <f>'G-1 All Habitats'!B24</f>
        <v>Grassland - Upland calcareous grassland</v>
      </c>
    </row>
    <row r="25" spans="1:4" x14ac:dyDescent="0.25">
      <c r="A25" s="658" t="s">
        <v>1209</v>
      </c>
      <c r="D25" s="658" t="str">
        <f>'G-1 All Habitats'!B25</f>
        <v>Grassland - Upland hay meadows</v>
      </c>
    </row>
    <row r="26" spans="1:4" x14ac:dyDescent="0.25">
      <c r="A26" s="658" t="s">
        <v>1210</v>
      </c>
      <c r="D26" s="658" t="str">
        <f>'G-1 All Habitats'!B26</f>
        <v>Heathland and shrub - Blackthorn scrub</v>
      </c>
    </row>
    <row r="27" spans="1:4" x14ac:dyDescent="0.25">
      <c r="A27" s="658" t="s">
        <v>1211</v>
      </c>
      <c r="D27" s="658" t="str">
        <f>'G-1 All Habitats'!B27</f>
        <v>Heathland and shrub - Bramble scrub</v>
      </c>
    </row>
    <row r="28" spans="1:4" x14ac:dyDescent="0.25">
      <c r="A28" s="658" t="s">
        <v>1212</v>
      </c>
      <c r="D28" s="658" t="str">
        <f>'G-1 All Habitats'!B28</f>
        <v>Heathland and shrub - Gorse scrub</v>
      </c>
    </row>
    <row r="29" spans="1:4" x14ac:dyDescent="0.25">
      <c r="A29" s="658" t="s">
        <v>1213</v>
      </c>
      <c r="D29" s="658" t="str">
        <f>'G-1 All Habitats'!B29</f>
        <v>Heathland and shrub - Hawthorn scrub</v>
      </c>
    </row>
    <row r="30" spans="1:4" x14ac:dyDescent="0.25">
      <c r="A30" s="658" t="s">
        <v>1214</v>
      </c>
      <c r="D30" s="658" t="str">
        <f>'G-1 All Habitats'!B30</f>
        <v>Heathland and shrub - Hazel scrub</v>
      </c>
    </row>
    <row r="31" spans="1:4" x14ac:dyDescent="0.25">
      <c r="A31" s="658" t="s">
        <v>1215</v>
      </c>
      <c r="D31" s="658" t="str">
        <f>'G-1 All Habitats'!B31</f>
        <v>Heathland and shrub - Lowland Heathland</v>
      </c>
    </row>
    <row r="32" spans="1:4" x14ac:dyDescent="0.25">
      <c r="A32" s="658" t="s">
        <v>1216</v>
      </c>
      <c r="D32" s="658" t="str">
        <f>'G-1 All Habitats'!B32</f>
        <v>Heathland and shrub - Mixed scrub</v>
      </c>
    </row>
    <row r="33" spans="1:4" x14ac:dyDescent="0.25">
      <c r="A33" s="658" t="s">
        <v>1217</v>
      </c>
      <c r="D33" s="658" t="str">
        <f>'G-1 All Habitats'!B33</f>
        <v>Heathland and shrub - Mountain heaths and willow scrub</v>
      </c>
    </row>
    <row r="34" spans="1:4" x14ac:dyDescent="0.25">
      <c r="A34" s="658" t="s">
        <v>1218</v>
      </c>
      <c r="D34" s="658" t="str">
        <f>'G-1 All Habitats'!B34</f>
        <v>Heathland and shrub - Rhododendron scrub</v>
      </c>
    </row>
    <row r="35" spans="1:4" x14ac:dyDescent="0.25">
      <c r="A35" s="658" t="s">
        <v>1219</v>
      </c>
      <c r="D35" s="658" t="str">
        <f>'G-1 All Habitats'!B35</f>
        <v>Heathland and shrub - Sea buckthorn scrub (Annex 1)</v>
      </c>
    </row>
    <row r="36" spans="1:4" x14ac:dyDescent="0.25">
      <c r="A36" s="658" t="s">
        <v>1220</v>
      </c>
      <c r="D36" s="658" t="str">
        <f>'G-1 All Habitats'!B36</f>
        <v>Heathland and shrub - Sea buckthorn scrub (other)</v>
      </c>
    </row>
    <row r="37" spans="1:4" x14ac:dyDescent="0.25">
      <c r="A37" s="658" t="s">
        <v>1221</v>
      </c>
      <c r="D37" s="658" t="str">
        <f>'G-1 All Habitats'!B37</f>
        <v>Heathland and shrub - Upland Heathland</v>
      </c>
    </row>
    <row r="38" spans="1:4" x14ac:dyDescent="0.25">
      <c r="A38" s="658" t="s">
        <v>1222</v>
      </c>
      <c r="D38" s="658" t="str">
        <f>'G-1 All Habitats'!B38</f>
        <v>Lakes - Aquifer fed naturally fluctuating water bodies</v>
      </c>
    </row>
    <row r="39" spans="1:4" x14ac:dyDescent="0.25">
      <c r="A39" s="658" t="s">
        <v>1223</v>
      </c>
      <c r="D39" s="658" t="e">
        <f>'G-1 All Habitats'!#REF!</f>
        <v>#REF!</v>
      </c>
    </row>
    <row r="40" spans="1:4" x14ac:dyDescent="0.25">
      <c r="A40" s="658" t="s">
        <v>1224</v>
      </c>
      <c r="D40" s="658" t="str">
        <f>'G-1 All Habitats'!B40</f>
        <v>Lakes - High alkalinity lakes</v>
      </c>
    </row>
    <row r="41" spans="1:4" x14ac:dyDescent="0.25">
      <c r="A41" s="658" t="s">
        <v>1225</v>
      </c>
      <c r="D41" s="658" t="str">
        <f>'G-1 All Habitats'!B41</f>
        <v>Lakes - Low alkalinity lakes</v>
      </c>
    </row>
    <row r="42" spans="1:4" x14ac:dyDescent="0.25">
      <c r="A42" s="658" t="s">
        <v>1226</v>
      </c>
      <c r="D42" s="658" t="str">
        <f>'G-1 All Habitats'!B42</f>
        <v>Lakes - Marl Lakes</v>
      </c>
    </row>
    <row r="43" spans="1:4" x14ac:dyDescent="0.25">
      <c r="A43" s="658" t="s">
        <v>1227</v>
      </c>
      <c r="D43" s="658" t="str">
        <f>'G-1 All Habitats'!B43</f>
        <v>Lakes - Moderate alkalinity lakes</v>
      </c>
    </row>
    <row r="44" spans="1:4" x14ac:dyDescent="0.25">
      <c r="A44" s="658" t="s">
        <v>1228</v>
      </c>
      <c r="D44" s="658" t="str">
        <f>'G-1 All Habitats'!B44</f>
        <v>Lakes - Peat Lakes</v>
      </c>
    </row>
    <row r="45" spans="1:4" x14ac:dyDescent="0.25">
      <c r="A45" s="658" t="s">
        <v>1229</v>
      </c>
      <c r="D45" s="658" t="str">
        <f>'G-1 All Habitats'!B45</f>
        <v>Lakes - Ponds (Priority Habitat)</v>
      </c>
    </row>
    <row r="46" spans="1:4" x14ac:dyDescent="0.25">
      <c r="A46" s="658" t="s">
        <v>1230</v>
      </c>
      <c r="D46" s="658" t="str">
        <f>'G-1 All Habitats'!B46</f>
        <v>Lakes - Ponds (Non- Priority Habitat)</v>
      </c>
    </row>
    <row r="47" spans="1:4" x14ac:dyDescent="0.25">
      <c r="A47" s="658" t="s">
        <v>1231</v>
      </c>
      <c r="D47" s="658" t="str">
        <f>'G-1 All Habitats'!B47</f>
        <v>Lakes - Reservoirs</v>
      </c>
    </row>
    <row r="48" spans="1:4" x14ac:dyDescent="0.25">
      <c r="A48" s="658" t="s">
        <v>1232</v>
      </c>
      <c r="D48" s="658" t="str">
        <f>'G-1 All Habitats'!B48</f>
        <v>Lakes - Temporary lakes, ponds and pools</v>
      </c>
    </row>
    <row r="49" spans="1:4" x14ac:dyDescent="0.25">
      <c r="A49" s="658" t="s">
        <v>1233</v>
      </c>
      <c r="D49" s="658" t="str">
        <f>'G-1 All Habitats'!B49</f>
        <v>Sparsely vegetated land - Calaminarian grasslands</v>
      </c>
    </row>
    <row r="50" spans="1:4" x14ac:dyDescent="0.25">
      <c r="A50" s="658" t="s">
        <v>1234</v>
      </c>
      <c r="D50" s="658" t="str">
        <f>'G-1 All Habitats'!B50</f>
        <v>Sparsely vegetated land - Coastal sand dunes</v>
      </c>
    </row>
    <row r="51" spans="1:4" x14ac:dyDescent="0.25">
      <c r="A51" s="658" t="s">
        <v>1235</v>
      </c>
      <c r="D51" s="658" t="str">
        <f>'G-1 All Habitats'!B51</f>
        <v>Sparsely vegetated land - Coastal vegetated shingle</v>
      </c>
    </row>
    <row r="52" spans="1:4" x14ac:dyDescent="0.25">
      <c r="A52" s="658" t="s">
        <v>1236</v>
      </c>
      <c r="D52" s="658" t="str">
        <f>'G-1 All Habitats'!B52</f>
        <v>Sparsely vegetated land - Ruderal/Ephemeral</v>
      </c>
    </row>
    <row r="53" spans="1:4" x14ac:dyDescent="0.25">
      <c r="A53" s="658" t="s">
        <v>1237</v>
      </c>
      <c r="D53" s="658" t="str">
        <f>'G-1 All Habitats'!B53</f>
        <v>Sparsely vegetated land - Inland rock outcrop and scree habitats</v>
      </c>
    </row>
    <row r="54" spans="1:4" x14ac:dyDescent="0.25">
      <c r="A54" s="658" t="s">
        <v>1238</v>
      </c>
      <c r="D54" s="658" t="str">
        <f>'G-1 All Habitats'!B54</f>
        <v>Sparsely vegetated land - Limestone pavement</v>
      </c>
    </row>
    <row r="55" spans="1:4" x14ac:dyDescent="0.25">
      <c r="A55" s="658" t="s">
        <v>1239</v>
      </c>
      <c r="D55" s="658" t="str">
        <f>'G-1 All Habitats'!B55</f>
        <v>Sparsely vegetated land - Maritime cliff and slopes</v>
      </c>
    </row>
    <row r="56" spans="1:4" x14ac:dyDescent="0.25">
      <c r="A56" s="658" t="s">
        <v>1240</v>
      </c>
      <c r="D56" s="658" t="str">
        <f>'G-1 All Habitats'!B56</f>
        <v>Sparsely vegetated land - Other inland rock and scree</v>
      </c>
    </row>
    <row r="57" spans="1:4" x14ac:dyDescent="0.25">
      <c r="A57" s="658" t="s">
        <v>1241</v>
      </c>
      <c r="D57" s="658" t="str">
        <f>'G-1 All Habitats'!B57</f>
        <v>Urban - Allotments</v>
      </c>
    </row>
    <row r="58" spans="1:4" x14ac:dyDescent="0.25">
      <c r="A58" s="658" t="s">
        <v>1242</v>
      </c>
      <c r="D58" s="658" t="str">
        <f>'G-1 All Habitats'!B39</f>
        <v>Lakes - Ornamental lake or pond</v>
      </c>
    </row>
    <row r="59" spans="1:4" x14ac:dyDescent="0.25">
      <c r="A59" s="658" t="s">
        <v>1243</v>
      </c>
      <c r="D59" s="658" t="str">
        <f>'G-1 All Habitats'!B58</f>
        <v>Urban - Artificial unvegetated, unsealed surface</v>
      </c>
    </row>
    <row r="60" spans="1:4" x14ac:dyDescent="0.25">
      <c r="A60" s="658" t="s">
        <v>1244</v>
      </c>
      <c r="D60" s="658" t="str">
        <f>'G-1 All Habitats'!B59</f>
        <v>Urban - Bioswale</v>
      </c>
    </row>
    <row r="61" spans="1:4" x14ac:dyDescent="0.25">
      <c r="A61" s="658" t="s">
        <v>1245</v>
      </c>
      <c r="D61" s="658" t="str">
        <f>'G-1 All Habitats'!B60</f>
        <v>Urban - Intensive green roof</v>
      </c>
    </row>
    <row r="62" spans="1:4" x14ac:dyDescent="0.25">
      <c r="A62" s="658" t="s">
        <v>1246</v>
      </c>
      <c r="D62" s="658" t="str">
        <f>'G-1 All Habitats'!B61</f>
        <v>Urban - Built linear features</v>
      </c>
    </row>
    <row r="63" spans="1:4" x14ac:dyDescent="0.25">
      <c r="A63" s="658" t="s">
        <v>1247</v>
      </c>
      <c r="D63" s="658" t="str">
        <f>'G-1 All Habitats'!B62</f>
        <v>Urban - Cemeteries and churchyards</v>
      </c>
    </row>
    <row r="64" spans="1:4" x14ac:dyDescent="0.25">
      <c r="A64" s="658" t="s">
        <v>1248</v>
      </c>
      <c r="D64" s="658" t="str">
        <f>'G-1 All Habitats'!B63</f>
        <v>Urban - Developed land; sealed surface</v>
      </c>
    </row>
    <row r="65" spans="1:4" x14ac:dyDescent="0.25">
      <c r="A65" s="658" t="s">
        <v>1249</v>
      </c>
      <c r="D65" s="658" t="str">
        <f>'G-1 All Habitats'!B64</f>
        <v>Urban - Other green roof</v>
      </c>
    </row>
    <row r="66" spans="1:4" x14ac:dyDescent="0.25">
      <c r="A66" s="658" t="s">
        <v>1250</v>
      </c>
      <c r="D66" s="658" t="str">
        <f>'G-1 All Habitats'!B65</f>
        <v>Urban - Facade-bound green wall</v>
      </c>
    </row>
    <row r="67" spans="1:4" x14ac:dyDescent="0.25">
      <c r="A67" s="658" t="s">
        <v>1251</v>
      </c>
      <c r="D67" s="658" t="str">
        <f>'G-1 All Habitats'!B66</f>
        <v>Urban - Ground based green wall</v>
      </c>
    </row>
    <row r="68" spans="1:4" x14ac:dyDescent="0.25">
      <c r="A68" s="658" t="s">
        <v>1252</v>
      </c>
      <c r="D68" s="658" t="str">
        <f>'G-1 All Habitats'!B67</f>
        <v>Urban - Ground level planters</v>
      </c>
    </row>
    <row r="69" spans="1:4" x14ac:dyDescent="0.25">
      <c r="A69" s="658" t="s">
        <v>1253</v>
      </c>
      <c r="D69" s="658" t="str">
        <f>'G-1 All Habitats'!B68</f>
        <v>Urban - Biodiverse green roof</v>
      </c>
    </row>
    <row r="70" spans="1:4" x14ac:dyDescent="0.25">
      <c r="A70" s="658" t="s">
        <v>1254</v>
      </c>
      <c r="D70" s="658" t="str">
        <f>'G-1 All Habitats'!B69</f>
        <v>Urban - Introduced shrub</v>
      </c>
    </row>
    <row r="71" spans="1:4" x14ac:dyDescent="0.25">
      <c r="A71" s="658" t="s">
        <v>1255</v>
      </c>
      <c r="D71" s="658" t="e">
        <f>'G-1 All Habitats'!#REF!</f>
        <v>#REF!</v>
      </c>
    </row>
    <row r="72" spans="1:4" x14ac:dyDescent="0.25">
      <c r="A72" s="658" t="s">
        <v>1256</v>
      </c>
      <c r="D72" s="658" t="str">
        <f>'G-1 All Habitats'!B70</f>
        <v>Urban - Open Mosaic Habitats on Previously Developed Land</v>
      </c>
    </row>
    <row r="73" spans="1:4" x14ac:dyDescent="0.25">
      <c r="A73" s="658" t="s">
        <v>1257</v>
      </c>
      <c r="D73" s="658" t="e">
        <f>'G-1 All Habitats'!#REF!</f>
        <v>#REF!</v>
      </c>
    </row>
    <row r="74" spans="1:4" x14ac:dyDescent="0.25">
      <c r="A74" s="658" t="s">
        <v>1258</v>
      </c>
      <c r="D74" s="658" t="str">
        <f>'G-1 All Habitats'!B71</f>
        <v>Urban - Rain garden</v>
      </c>
    </row>
    <row r="75" spans="1:4" x14ac:dyDescent="0.25">
      <c r="A75" s="658" t="s">
        <v>1259</v>
      </c>
      <c r="D75" s="658" t="str">
        <f>'G-1 All Habitats'!B72</f>
        <v>Urban - Actively worked sand pit quarry or open cast mine</v>
      </c>
    </row>
    <row r="76" spans="1:4" x14ac:dyDescent="0.25">
      <c r="A76" s="658" t="s">
        <v>1260</v>
      </c>
      <c r="D76" s="658" t="str">
        <f>'G-1 All Habitats'!B73</f>
        <v>Urban - Urban Tree</v>
      </c>
    </row>
    <row r="77" spans="1:4" x14ac:dyDescent="0.25">
      <c r="A77" s="658" t="s">
        <v>1261</v>
      </c>
      <c r="D77" s="658" t="e">
        <f>'G-1 All Habitats'!#REF!</f>
        <v>#REF!</v>
      </c>
    </row>
    <row r="78" spans="1:4" x14ac:dyDescent="0.25">
      <c r="A78" s="658" t="s">
        <v>1262</v>
      </c>
      <c r="D78" s="658" t="str">
        <f>'G-1 All Habitats'!B74</f>
        <v>Urban - Sustainable urban drainage feature</v>
      </c>
    </row>
    <row r="79" spans="1:4" x14ac:dyDescent="0.25">
      <c r="A79" s="658" t="s">
        <v>1263</v>
      </c>
      <c r="D79" s="658" t="str">
        <f>'G-1 All Habitats'!B75</f>
        <v>Urban - Un-vegetated garden</v>
      </c>
    </row>
    <row r="80" spans="1:4" x14ac:dyDescent="0.25">
      <c r="A80" s="658" t="s">
        <v>1264</v>
      </c>
      <c r="D80" s="658" t="str">
        <f>'G-1 All Habitats'!B76</f>
        <v>Urban - Vacant/derelict land/ bareground</v>
      </c>
    </row>
    <row r="81" spans="1:4" x14ac:dyDescent="0.25">
      <c r="A81" s="658" t="s">
        <v>1265</v>
      </c>
      <c r="D81" s="658" t="str">
        <f>'G-1 All Habitats'!B77</f>
        <v>Urban - Vegetated garden</v>
      </c>
    </row>
    <row r="82" spans="1:4" x14ac:dyDescent="0.25">
      <c r="A82" s="658" t="s">
        <v>1266</v>
      </c>
      <c r="D82" s="658" t="e">
        <f>'G-1 All Habitats'!#REF!</f>
        <v>#REF!</v>
      </c>
    </row>
    <row r="83" spans="1:4" x14ac:dyDescent="0.25">
      <c r="A83" s="658" t="s">
        <v>1267</v>
      </c>
      <c r="D83" s="658" t="str">
        <f>'G-1 All Habitats'!B78</f>
        <v>Wetland - Blanket bog</v>
      </c>
    </row>
    <row r="84" spans="1:4" x14ac:dyDescent="0.25">
      <c r="A84" s="658" t="s">
        <v>1268</v>
      </c>
      <c r="D84" s="658" t="str">
        <f>'G-1 All Habitats'!B79</f>
        <v>Wetland - Depressions on Peat substrates (H7150)</v>
      </c>
    </row>
    <row r="85" spans="1:4" x14ac:dyDescent="0.25">
      <c r="A85" s="658" t="s">
        <v>1269</v>
      </c>
      <c r="D85" s="658" t="str">
        <f>'G-1 All Habitats'!B80</f>
        <v>Wetland - Fens (upland and lowland)</v>
      </c>
    </row>
    <row r="86" spans="1:4" x14ac:dyDescent="0.25">
      <c r="A86" s="658" t="s">
        <v>1270</v>
      </c>
      <c r="D86" s="658" t="str">
        <f>'G-1 All Habitats'!B81</f>
        <v>Wetland - Lowland raised bog</v>
      </c>
    </row>
    <row r="87" spans="1:4" x14ac:dyDescent="0.25">
      <c r="A87" s="658" t="s">
        <v>1271</v>
      </c>
      <c r="D87" s="658" t="str">
        <f>'G-1 All Habitats'!B82</f>
        <v>Wetland - Oceanic Valley Mire[1] (D2.1)</v>
      </c>
    </row>
    <row r="88" spans="1:4" x14ac:dyDescent="0.25">
      <c r="A88" s="658" t="s">
        <v>1272</v>
      </c>
      <c r="D88" s="658" t="str">
        <f>'G-1 All Habitats'!B83</f>
        <v>Wetland - Purple moor grass and rush pastures</v>
      </c>
    </row>
    <row r="89" spans="1:4" x14ac:dyDescent="0.25">
      <c r="A89" s="658" t="s">
        <v>1273</v>
      </c>
      <c r="D89" s="658" t="str">
        <f>'G-1 All Habitats'!B84</f>
        <v>Wetland - Reedbeds</v>
      </c>
    </row>
    <row r="90" spans="1:4" x14ac:dyDescent="0.25">
      <c r="A90" s="658" t="s">
        <v>1274</v>
      </c>
      <c r="D90" s="658" t="str">
        <f>'G-1 All Habitats'!B85</f>
        <v>Wetland - Transition mires and quaking bogs (H7140)</v>
      </c>
    </row>
    <row r="91" spans="1:4" x14ac:dyDescent="0.25">
      <c r="A91" s="658" t="s">
        <v>1275</v>
      </c>
      <c r="D91" s="658" t="str">
        <f>'G-1 All Habitats'!B86</f>
        <v>Woodland and forest - Felled</v>
      </c>
    </row>
    <row r="92" spans="1:4" x14ac:dyDescent="0.25">
      <c r="A92" s="658" t="s">
        <v>1276</v>
      </c>
      <c r="D92" s="658" t="str">
        <f>'G-1 All Habitats'!B87</f>
        <v>Woodland and forest - Lowland beech and yew woodland</v>
      </c>
    </row>
    <row r="93" spans="1:4" x14ac:dyDescent="0.25">
      <c r="A93" s="658" t="s">
        <v>1277</v>
      </c>
      <c r="D93" s="658" t="str">
        <f>'G-1 All Habitats'!B88</f>
        <v>Woodland and forest - Lowland mixed deciduous woodland</v>
      </c>
    </row>
    <row r="94" spans="1:4" x14ac:dyDescent="0.25">
      <c r="A94" s="658" t="s">
        <v>1278</v>
      </c>
      <c r="D94" s="658" t="str">
        <f>'G-1 All Habitats'!B89</f>
        <v>Woodland and forest - Native pine woodlands</v>
      </c>
    </row>
    <row r="95" spans="1:4" x14ac:dyDescent="0.25">
      <c r="A95" s="658" t="s">
        <v>1279</v>
      </c>
      <c r="D95" s="658" t="str">
        <f>'G-1 All Habitats'!B90</f>
        <v>Woodland and forest - Other coniferous woodland</v>
      </c>
    </row>
    <row r="96" spans="1:4" x14ac:dyDescent="0.25">
      <c r="A96" s="658" t="s">
        <v>1280</v>
      </c>
      <c r="D96" s="658" t="str">
        <f>'G-1 All Habitats'!B91</f>
        <v>Woodland and forest - Other Scot's Pine woodland</v>
      </c>
    </row>
    <row r="97" spans="1:4" x14ac:dyDescent="0.25">
      <c r="A97" s="658" t="s">
        <v>1281</v>
      </c>
      <c r="D97" s="658" t="str">
        <f>'G-1 All Habitats'!B92</f>
        <v>Woodland and forest - Other woodland; broadleaved</v>
      </c>
    </row>
    <row r="98" spans="1:4" x14ac:dyDescent="0.25">
      <c r="A98" s="658" t="s">
        <v>1282</v>
      </c>
      <c r="D98" s="658" t="str">
        <f>'G-1 All Habitats'!B93</f>
        <v>Woodland and forest - Other woodland; mixed</v>
      </c>
    </row>
    <row r="99" spans="1:4" x14ac:dyDescent="0.25">
      <c r="A99" s="658" t="s">
        <v>1283</v>
      </c>
      <c r="D99" s="658" t="e">
        <f>'G-1 All Habitats'!#REF!</f>
        <v>#REF!</v>
      </c>
    </row>
    <row r="100" spans="1:4" x14ac:dyDescent="0.25">
      <c r="A100" s="658" t="s">
        <v>1284</v>
      </c>
      <c r="D100" s="658" t="str">
        <f>'G-1 All Habitats'!B94</f>
        <v>Woodland and forest - Upland birchwoods</v>
      </c>
    </row>
    <row r="101" spans="1:4" x14ac:dyDescent="0.25">
      <c r="A101" s="658" t="s">
        <v>1285</v>
      </c>
      <c r="D101" s="658" t="str">
        <f>'G-1 All Habitats'!B95</f>
        <v>Woodland and forest - Upland mixed ashwoods</v>
      </c>
    </row>
    <row r="102" spans="1:4" x14ac:dyDescent="0.25">
      <c r="A102" s="658" t="s">
        <v>1286</v>
      </c>
      <c r="D102" s="658" t="str">
        <f>'G-1 All Habitats'!B96</f>
        <v>Woodland and forest - Upland oakwood</v>
      </c>
    </row>
    <row r="103" spans="1:4" x14ac:dyDescent="0.25">
      <c r="A103" s="658" t="s">
        <v>1287</v>
      </c>
      <c r="D103" s="658" t="str">
        <f>'G-1 All Habitats'!B97</f>
        <v>Woodland and forest - Wet woodland</v>
      </c>
    </row>
    <row r="104" spans="1:4" x14ac:dyDescent="0.25">
      <c r="A104" s="658" t="s">
        <v>1288</v>
      </c>
      <c r="D104" s="658" t="str">
        <f>'G-1 All Habitats'!B98</f>
        <v>Woodland and forest - Wood-pasture and parkland</v>
      </c>
    </row>
    <row r="105" spans="1:4" x14ac:dyDescent="0.25">
      <c r="A105" s="658" t="s">
        <v>1289</v>
      </c>
      <c r="D105" s="658" t="str">
        <f>'G-1 All Habitats'!B99</f>
        <v>Coastal lagoons - Coastal lagoons</v>
      </c>
    </row>
    <row r="106" spans="1:4" x14ac:dyDescent="0.25">
      <c r="A106" s="658" t="s">
        <v>1290</v>
      </c>
      <c r="D106" s="658" t="str">
        <f>'G-1 All Habitats'!B100</f>
        <v>Rocky shore - High energy littoral rock</v>
      </c>
    </row>
    <row r="107" spans="1:4" x14ac:dyDescent="0.25">
      <c r="A107" s="658" t="s">
        <v>1291</v>
      </c>
      <c r="D107" s="658" t="str">
        <f>'G-1 All Habitats'!B101</f>
        <v>Rocky shore - High energy littoral rock - on peat, clay or chalk</v>
      </c>
    </row>
    <row r="108" spans="1:4" x14ac:dyDescent="0.25">
      <c r="A108" s="658" t="s">
        <v>1292</v>
      </c>
      <c r="D108" s="658" t="str">
        <f>'G-1 All Habitats'!B102</f>
        <v>Rocky shore - Moderate energy littoral rock</v>
      </c>
    </row>
    <row r="109" spans="1:4" x14ac:dyDescent="0.25">
      <c r="A109" s="658" t="s">
        <v>1293</v>
      </c>
      <c r="D109" s="658" t="str">
        <f>'G-1 All Habitats'!B103</f>
        <v>Rocky shore - Moderate energy littoral rock - on peat, clay or chalk</v>
      </c>
    </row>
    <row r="110" spans="1:4" x14ac:dyDescent="0.25">
      <c r="A110" s="658" t="s">
        <v>1294</v>
      </c>
      <c r="D110" s="658" t="str">
        <f>'G-1 All Habitats'!B104</f>
        <v>Rocky shore - Low energy littoral rock</v>
      </c>
    </row>
    <row r="111" spans="1:4" x14ac:dyDescent="0.25">
      <c r="A111" s="658" t="s">
        <v>1295</v>
      </c>
      <c r="D111" s="658" t="str">
        <f>'G-1 All Habitats'!B105</f>
        <v>Rocky shore - Low energy littoral rock - on peat, clay or chalk</v>
      </c>
    </row>
    <row r="112" spans="1:4" x14ac:dyDescent="0.25">
      <c r="A112" s="658" t="s">
        <v>1296</v>
      </c>
      <c r="D112" s="658" t="str">
        <f>'G-1 All Habitats'!B106</f>
        <v>Rocky shore - Features of littoral rock</v>
      </c>
    </row>
    <row r="113" spans="1:4" x14ac:dyDescent="0.25">
      <c r="A113" s="658" t="s">
        <v>1297</v>
      </c>
      <c r="D113" s="658" t="str">
        <f>'G-1 All Habitats'!B107</f>
        <v>Rocky shore - Features of littoral rock - on peat, clay or chalk</v>
      </c>
    </row>
    <row r="114" spans="1:4" x14ac:dyDescent="0.25">
      <c r="A114" s="658" t="s">
        <v>1298</v>
      </c>
      <c r="D114" s="658" t="e">
        <f>'G-1 All Habitats'!#REF!</f>
        <v>#REF!</v>
      </c>
    </row>
    <row r="115" spans="1:4" x14ac:dyDescent="0.25">
      <c r="A115" s="658" t="s">
        <v>1299</v>
      </c>
      <c r="D115" s="658" t="e">
        <f>'G-1 All Habitats'!#REF!</f>
        <v>#REF!</v>
      </c>
    </row>
    <row r="116" spans="1:4" x14ac:dyDescent="0.25">
      <c r="A116" s="658" t="s">
        <v>1300</v>
      </c>
      <c r="D116" s="658" t="e">
        <f>'G-1 All Habitats'!#REF!</f>
        <v>#REF!</v>
      </c>
    </row>
    <row r="117" spans="1:4" x14ac:dyDescent="0.25">
      <c r="A117" s="658" t="s">
        <v>1301</v>
      </c>
      <c r="D117" s="658" t="e">
        <f>'G-1 All Habitats'!#REF!</f>
        <v>#REF!</v>
      </c>
    </row>
    <row r="118" spans="1:4" x14ac:dyDescent="0.25">
      <c r="A118" s="658" t="s">
        <v>1302</v>
      </c>
      <c r="D118" s="658" t="str">
        <f>'G-1 All Habitats'!B110</f>
        <v>Intertidal sediment - Littoral coarse sediment</v>
      </c>
    </row>
    <row r="119" spans="1:4" x14ac:dyDescent="0.25">
      <c r="A119" s="658" t="s">
        <v>1303</v>
      </c>
      <c r="D119" s="658" t="e">
        <f>'G-1 All Habitats'!#REF!</f>
        <v>#REF!</v>
      </c>
    </row>
    <row r="120" spans="1:4" x14ac:dyDescent="0.25">
      <c r="A120" s="658" t="s">
        <v>1304</v>
      </c>
      <c r="D120" s="658" t="str">
        <f>'G-1 All Habitats'!B111</f>
        <v>Intertidal sediment - Littoral mud</v>
      </c>
    </row>
    <row r="121" spans="1:4" x14ac:dyDescent="0.25">
      <c r="A121" s="658" t="s">
        <v>1305</v>
      </c>
      <c r="D121" s="658" t="str">
        <f>'G-1 All Habitats'!B112</f>
        <v>Intertidal sediment - Littoral mixed sediments</v>
      </c>
    </row>
    <row r="122" spans="1:4" x14ac:dyDescent="0.25">
      <c r="A122" s="658" t="s">
        <v>1306</v>
      </c>
      <c r="D122" s="658" t="str">
        <f>'G-1 All Habitats'!B108</f>
        <v>Coastal saltmarsh - Saltmarshes and saline reedbeds</v>
      </c>
    </row>
    <row r="123" spans="1:4" x14ac:dyDescent="0.25">
      <c r="A123" s="658" t="s">
        <v>1307</v>
      </c>
      <c r="D123" s="658" t="str">
        <f>'G-1 All Habitats'!B113</f>
        <v>Intertidal sediment - Littoral seagrass</v>
      </c>
    </row>
    <row r="124" spans="1:4" x14ac:dyDescent="0.25">
      <c r="A124" s="658" t="s">
        <v>1308</v>
      </c>
      <c r="D124" s="658" t="str">
        <f>'G-1 All Habitats'!B114</f>
        <v>Intertidal sediment - Littoral seagrass on peat, clay or chalk</v>
      </c>
    </row>
    <row r="125" spans="1:4" x14ac:dyDescent="0.25">
      <c r="A125" s="658" t="s">
        <v>2</v>
      </c>
      <c r="D125" s="658" t="str">
        <f>'G-1 All Habitats'!B116</f>
        <v>Intertidal sediment - Littoral biogenic reefs - Sabellaria</v>
      </c>
    </row>
    <row r="126" spans="1:4" x14ac:dyDescent="0.25">
      <c r="A126" s="658" t="s">
        <v>1309</v>
      </c>
      <c r="D126" s="658" t="e">
        <f>'G-1 All Habitats'!#REF!</f>
        <v>#REF!</v>
      </c>
    </row>
    <row r="127" spans="1:4" x14ac:dyDescent="0.25">
      <c r="A127" s="658" t="s">
        <v>1310</v>
      </c>
      <c r="D127" s="658" t="str">
        <f>'G-1 All Habitats'!B117</f>
        <v>Intertidal sediment - Features of littoral sediment</v>
      </c>
    </row>
    <row r="128" spans="1:4" x14ac:dyDescent="0.25">
      <c r="A128" s="658" t="s">
        <v>1311</v>
      </c>
      <c r="D128" s="658" t="str">
        <f>'G-1 All Habitats'!B118</f>
        <v>Intertidal sediment - Artificial littoral coarse sediment</v>
      </c>
    </row>
    <row r="129" spans="1:4" x14ac:dyDescent="0.25">
      <c r="A129" s="658" t="s">
        <v>1312</v>
      </c>
      <c r="D129" s="658" t="e">
        <f>'G-1 All Habitats'!#REF!</f>
        <v>#REF!</v>
      </c>
    </row>
    <row r="130" spans="1:4" x14ac:dyDescent="0.25">
      <c r="A130" s="658" t="s">
        <v>1313</v>
      </c>
      <c r="D130" s="658" t="str">
        <f>'G-1 All Habitats'!B121</f>
        <v>Intertidal sediment - Artificial littoral muddy sand</v>
      </c>
    </row>
    <row r="131" spans="1:4" x14ac:dyDescent="0.25">
      <c r="A131" s="658" t="s">
        <v>1314</v>
      </c>
      <c r="D131" s="658" t="str">
        <f>'G-1 All Habitats'!B122</f>
        <v>Intertidal sediment - Artificial littoral mixed sediments</v>
      </c>
    </row>
    <row r="132" spans="1:4" x14ac:dyDescent="0.25">
      <c r="A132" s="658" t="s">
        <v>1315</v>
      </c>
      <c r="D132" s="658" t="str">
        <f>'G-1 All Habitats'!B123</f>
        <v>Intertidal sediment - Artificial littoral seagrass</v>
      </c>
    </row>
    <row r="133" spans="1:4" x14ac:dyDescent="0.25">
      <c r="A133" s="658" t="s">
        <v>1316</v>
      </c>
      <c r="D133" s="658" t="str">
        <f>'G-1 All Habitats'!B124</f>
        <v>Intertidal sediment - Artificial littoral biogenic reefs</v>
      </c>
    </row>
    <row r="134" spans="1:4" x14ac:dyDescent="0.25">
      <c r="A134" s="658" t="s">
        <v>1317</v>
      </c>
      <c r="D134" s="658" t="e">
        <f>'G-1 All Habitats'!#REF!</f>
        <v>#REF!</v>
      </c>
    </row>
    <row r="135" spans="1:4" x14ac:dyDescent="0.25">
      <c r="A135" s="658" t="s">
        <v>1318</v>
      </c>
      <c r="D135" s="658" t="e">
        <f>'G-1 All Habitats'!#REF!</f>
        <v>#REF!</v>
      </c>
    </row>
    <row r="136" spans="1:4" x14ac:dyDescent="0.25">
      <c r="A136" s="658" t="s">
        <v>1319</v>
      </c>
      <c r="D136" s="658">
        <f>'G-1 All Habitats'!B130</f>
        <v>0</v>
      </c>
    </row>
    <row r="137" spans="1:4" x14ac:dyDescent="0.25">
      <c r="A137" s="658" t="s">
        <v>1320</v>
      </c>
      <c r="D137" s="658">
        <f>'G-1 All Habitats'!B131</f>
        <v>0</v>
      </c>
    </row>
    <row r="138" spans="1:4" x14ac:dyDescent="0.25">
      <c r="A138" s="658" t="s">
        <v>1321</v>
      </c>
      <c r="D138" s="658">
        <f>'G-1 All Habitats'!B132</f>
        <v>0</v>
      </c>
    </row>
    <row r="139" spans="1:4" x14ac:dyDescent="0.25">
      <c r="A139" s="658" t="s">
        <v>1322</v>
      </c>
      <c r="D139" s="658">
        <f>'G-1 All Habitats'!B133</f>
        <v>0</v>
      </c>
    </row>
    <row r="140" spans="1:4" x14ac:dyDescent="0.25">
      <c r="A140" s="658" t="s">
        <v>1323</v>
      </c>
      <c r="D140" s="658">
        <f>'G-1 All Habitats'!B134</f>
        <v>0</v>
      </c>
    </row>
    <row r="141" spans="1:4" x14ac:dyDescent="0.25">
      <c r="A141" s="658" t="s">
        <v>1324</v>
      </c>
      <c r="D141" s="658">
        <f>'G-1 All Habitats'!B135</f>
        <v>0</v>
      </c>
    </row>
    <row r="142" spans="1:4" x14ac:dyDescent="0.25">
      <c r="A142" s="658" t="s">
        <v>1325</v>
      </c>
      <c r="D142" s="658">
        <f>'G-1 All Habitats'!B136</f>
        <v>0</v>
      </c>
    </row>
    <row r="143" spans="1:4" x14ac:dyDescent="0.25">
      <c r="A143" s="658" t="s">
        <v>1326</v>
      </c>
      <c r="D143" s="658">
        <f>'G-1 All Habitats'!B137</f>
        <v>0</v>
      </c>
    </row>
    <row r="144" spans="1:4" x14ac:dyDescent="0.25">
      <c r="A144" s="658" t="s">
        <v>1327</v>
      </c>
      <c r="D144" s="658">
        <f>'G-1 All Habitats'!B138</f>
        <v>0</v>
      </c>
    </row>
    <row r="145" spans="1:4" x14ac:dyDescent="0.25">
      <c r="A145" s="658" t="s">
        <v>1328</v>
      </c>
      <c r="D145" s="658">
        <f>'G-1 All Habitats'!B139</f>
        <v>0</v>
      </c>
    </row>
    <row r="146" spans="1:4" x14ac:dyDescent="0.25">
      <c r="A146" s="658" t="s">
        <v>1329</v>
      </c>
      <c r="D146" s="658">
        <f>'G-1 All Habitats'!B140</f>
        <v>0</v>
      </c>
    </row>
    <row r="147" spans="1:4" x14ac:dyDescent="0.25">
      <c r="A147" s="658" t="s">
        <v>1330</v>
      </c>
      <c r="D147" s="658">
        <f>'G-1 All Habitats'!B141</f>
        <v>0</v>
      </c>
    </row>
    <row r="148" spans="1:4" x14ac:dyDescent="0.25">
      <c r="A148" s="658" t="s">
        <v>1331</v>
      </c>
      <c r="D148" s="658">
        <f>'G-1 All Habitats'!B142</f>
        <v>0</v>
      </c>
    </row>
    <row r="149" spans="1:4" x14ac:dyDescent="0.25">
      <c r="A149" s="658" t="s">
        <v>1332</v>
      </c>
      <c r="D149" s="658">
        <f>'G-1 All Habitats'!B143</f>
        <v>0</v>
      </c>
    </row>
    <row r="150" spans="1:4" x14ac:dyDescent="0.25">
      <c r="A150" s="658" t="s">
        <v>1333</v>
      </c>
      <c r="D150" s="658">
        <f>'G-1 All Habitats'!B144</f>
        <v>0</v>
      </c>
    </row>
    <row r="151" spans="1:4" x14ac:dyDescent="0.25">
      <c r="A151" s="658" t="s">
        <v>1334</v>
      </c>
      <c r="D151" s="658">
        <f>'G-1 All Habitats'!B145</f>
        <v>0</v>
      </c>
    </row>
    <row r="152" spans="1:4" x14ac:dyDescent="0.25">
      <c r="A152" s="658" t="s">
        <v>1335</v>
      </c>
      <c r="D152" s="658">
        <f>'G-1 All Habitats'!B146</f>
        <v>0</v>
      </c>
    </row>
    <row r="153" spans="1:4" x14ac:dyDescent="0.25">
      <c r="A153" s="658" t="s">
        <v>1336</v>
      </c>
      <c r="D153" s="658">
        <f>'G-1 All Habitats'!B147</f>
        <v>0</v>
      </c>
    </row>
    <row r="154" spans="1:4" x14ac:dyDescent="0.25">
      <c r="A154" s="658" t="s">
        <v>1337</v>
      </c>
      <c r="D154" s="658">
        <f>'G-1 All Habitats'!B148</f>
        <v>0</v>
      </c>
    </row>
    <row r="155" spans="1:4" x14ac:dyDescent="0.25">
      <c r="A155" s="658" t="s">
        <v>1338</v>
      </c>
      <c r="D155" s="658">
        <f>'G-1 All Habitats'!B149</f>
        <v>0</v>
      </c>
    </row>
    <row r="156" spans="1:4" x14ac:dyDescent="0.25">
      <c r="A156" s="658" t="s">
        <v>1339</v>
      </c>
      <c r="D156" s="658">
        <f>'G-1 All Habitats'!B150</f>
        <v>0</v>
      </c>
    </row>
    <row r="157" spans="1:4" x14ac:dyDescent="0.25">
      <c r="A157" s="658" t="s">
        <v>1340</v>
      </c>
    </row>
    <row r="158" spans="1:4" x14ac:dyDescent="0.25">
      <c r="A158" s="658" t="s">
        <v>1341</v>
      </c>
    </row>
    <row r="159" spans="1:4" x14ac:dyDescent="0.25">
      <c r="A159" s="658" t="s">
        <v>1342</v>
      </c>
    </row>
    <row r="160" spans="1:4" x14ac:dyDescent="0.25">
      <c r="A160" s="658" t="s">
        <v>1343</v>
      </c>
    </row>
    <row r="161" spans="1:1" x14ac:dyDescent="0.25">
      <c r="A161" s="658" t="s">
        <v>1344</v>
      </c>
    </row>
    <row r="162" spans="1:1" x14ac:dyDescent="0.25">
      <c r="A162" s="658" t="s">
        <v>1345</v>
      </c>
    </row>
    <row r="163" spans="1:1" x14ac:dyDescent="0.25">
      <c r="A163" s="658" t="s">
        <v>1346</v>
      </c>
    </row>
    <row r="164" spans="1:1" x14ac:dyDescent="0.25">
      <c r="A164" s="658" t="s">
        <v>1347</v>
      </c>
    </row>
    <row r="165" spans="1:1" x14ac:dyDescent="0.25">
      <c r="A165" s="658" t="s">
        <v>1348</v>
      </c>
    </row>
    <row r="166" spans="1:1" x14ac:dyDescent="0.25">
      <c r="A166" s="658" t="s">
        <v>1349</v>
      </c>
    </row>
    <row r="167" spans="1:1" x14ac:dyDescent="0.25">
      <c r="A167" s="658" t="s">
        <v>1350</v>
      </c>
    </row>
    <row r="168" spans="1:1" x14ac:dyDescent="0.25">
      <c r="A168" s="658" t="s">
        <v>1351</v>
      </c>
    </row>
    <row r="169" spans="1:1" x14ac:dyDescent="0.25">
      <c r="A169" s="658" t="s">
        <v>1352</v>
      </c>
    </row>
    <row r="170" spans="1:1" x14ac:dyDescent="0.25">
      <c r="A170" s="658" t="s">
        <v>1353</v>
      </c>
    </row>
    <row r="171" spans="1:1" x14ac:dyDescent="0.25">
      <c r="A171" s="658" t="s">
        <v>1354</v>
      </c>
    </row>
    <row r="172" spans="1:1" x14ac:dyDescent="0.25">
      <c r="A172" s="658" t="s">
        <v>1355</v>
      </c>
    </row>
    <row r="173" spans="1:1" x14ac:dyDescent="0.25">
      <c r="A173" s="658" t="s">
        <v>1356</v>
      </c>
    </row>
    <row r="174" spans="1:1" x14ac:dyDescent="0.25">
      <c r="A174" s="658" t="s">
        <v>1357</v>
      </c>
    </row>
    <row r="175" spans="1:1" x14ac:dyDescent="0.25">
      <c r="A175" s="658" t="s">
        <v>1358</v>
      </c>
    </row>
    <row r="176" spans="1:1" x14ac:dyDescent="0.25">
      <c r="A176" s="658" t="s">
        <v>1359</v>
      </c>
    </row>
    <row r="177" spans="1:1" x14ac:dyDescent="0.25">
      <c r="A177" s="658" t="s">
        <v>1360</v>
      </c>
    </row>
    <row r="178" spans="1:1" x14ac:dyDescent="0.25">
      <c r="A178" s="658" t="s">
        <v>1361</v>
      </c>
    </row>
    <row r="179" spans="1:1" x14ac:dyDescent="0.25">
      <c r="A179" s="658" t="s">
        <v>1362</v>
      </c>
    </row>
    <row r="180" spans="1:1" x14ac:dyDescent="0.25">
      <c r="A180" s="658" t="s">
        <v>1363</v>
      </c>
    </row>
    <row r="181" spans="1:1" x14ac:dyDescent="0.25">
      <c r="A181" s="658" t="s">
        <v>1364</v>
      </c>
    </row>
    <row r="182" spans="1:1" x14ac:dyDescent="0.25">
      <c r="A182" s="658" t="s">
        <v>1365</v>
      </c>
    </row>
    <row r="183" spans="1:1" x14ac:dyDescent="0.25">
      <c r="A183" s="658" t="s">
        <v>1366</v>
      </c>
    </row>
    <row r="184" spans="1:1" x14ac:dyDescent="0.25">
      <c r="A184" s="658" t="s">
        <v>1367</v>
      </c>
    </row>
    <row r="185" spans="1:1" x14ac:dyDescent="0.25">
      <c r="A185" s="658" t="s">
        <v>1368</v>
      </c>
    </row>
    <row r="186" spans="1:1" x14ac:dyDescent="0.25">
      <c r="A186" s="658" t="s">
        <v>1369</v>
      </c>
    </row>
    <row r="187" spans="1:1" x14ac:dyDescent="0.25">
      <c r="A187" s="658" t="s">
        <v>1370</v>
      </c>
    </row>
    <row r="188" spans="1:1" x14ac:dyDescent="0.25">
      <c r="A188" s="658" t="s">
        <v>1371</v>
      </c>
    </row>
    <row r="189" spans="1:1" x14ac:dyDescent="0.25">
      <c r="A189" s="658" t="s">
        <v>1372</v>
      </c>
    </row>
    <row r="190" spans="1:1" x14ac:dyDescent="0.25">
      <c r="A190" s="658" t="s">
        <v>1373</v>
      </c>
    </row>
    <row r="191" spans="1:1" x14ac:dyDescent="0.25">
      <c r="A191" s="658" t="s">
        <v>1374</v>
      </c>
    </row>
    <row r="192" spans="1:1" x14ac:dyDescent="0.25">
      <c r="A192" s="658" t="s">
        <v>1375</v>
      </c>
    </row>
    <row r="193" spans="1:1" x14ac:dyDescent="0.25">
      <c r="A193" s="658" t="s">
        <v>1376</v>
      </c>
    </row>
    <row r="194" spans="1:1" x14ac:dyDescent="0.25">
      <c r="A194" s="658" t="s">
        <v>1377</v>
      </c>
    </row>
    <row r="195" spans="1:1" x14ac:dyDescent="0.25">
      <c r="A195" s="658" t="s">
        <v>1378</v>
      </c>
    </row>
    <row r="196" spans="1:1" x14ac:dyDescent="0.25">
      <c r="A196" s="658" t="s">
        <v>1379</v>
      </c>
    </row>
    <row r="197" spans="1:1" x14ac:dyDescent="0.25">
      <c r="A197" s="658" t="s">
        <v>1380</v>
      </c>
    </row>
    <row r="198" spans="1:1" x14ac:dyDescent="0.25">
      <c r="A198" s="658" t="s">
        <v>1381</v>
      </c>
    </row>
    <row r="199" spans="1:1" x14ac:dyDescent="0.25">
      <c r="A199" s="658" t="s">
        <v>1382</v>
      </c>
    </row>
    <row r="200" spans="1:1" x14ac:dyDescent="0.25">
      <c r="A200" s="658" t="s">
        <v>1383</v>
      </c>
    </row>
    <row r="201" spans="1:1" x14ac:dyDescent="0.25">
      <c r="A201" s="658" t="s">
        <v>1384</v>
      </c>
    </row>
    <row r="202" spans="1:1" x14ac:dyDescent="0.25">
      <c r="A202" s="658" t="s">
        <v>1385</v>
      </c>
    </row>
    <row r="203" spans="1:1" x14ac:dyDescent="0.25">
      <c r="A203" s="658" t="s">
        <v>1386</v>
      </c>
    </row>
    <row r="204" spans="1:1" x14ac:dyDescent="0.25">
      <c r="A204" s="658" t="s">
        <v>1387</v>
      </c>
    </row>
    <row r="205" spans="1:1" x14ac:dyDescent="0.25">
      <c r="A205" s="658" t="s">
        <v>1388</v>
      </c>
    </row>
    <row r="206" spans="1:1" x14ac:dyDescent="0.25">
      <c r="A206" s="658" t="s">
        <v>1389</v>
      </c>
    </row>
    <row r="207" spans="1:1" x14ac:dyDescent="0.25">
      <c r="A207" s="658" t="s">
        <v>1390</v>
      </c>
    </row>
    <row r="208" spans="1:1" x14ac:dyDescent="0.25">
      <c r="A208" s="658" t="s">
        <v>1391</v>
      </c>
    </row>
    <row r="209" spans="1:1" x14ac:dyDescent="0.25">
      <c r="A209" s="658" t="s">
        <v>1392</v>
      </c>
    </row>
    <row r="210" spans="1:1" x14ac:dyDescent="0.25">
      <c r="A210" s="658" t="s">
        <v>1393</v>
      </c>
    </row>
    <row r="211" spans="1:1" x14ac:dyDescent="0.25">
      <c r="A211" s="658" t="s">
        <v>1394</v>
      </c>
    </row>
    <row r="212" spans="1:1" x14ac:dyDescent="0.25">
      <c r="A212" s="658" t="s">
        <v>1395</v>
      </c>
    </row>
    <row r="213" spans="1:1" x14ac:dyDescent="0.25">
      <c r="A213" s="658" t="s">
        <v>1396</v>
      </c>
    </row>
    <row r="214" spans="1:1" x14ac:dyDescent="0.25">
      <c r="A214" s="658" t="s">
        <v>1397</v>
      </c>
    </row>
    <row r="215" spans="1:1" x14ac:dyDescent="0.25">
      <c r="A215" s="658" t="s">
        <v>1398</v>
      </c>
    </row>
    <row r="216" spans="1:1" x14ac:dyDescent="0.25">
      <c r="A216" s="658" t="s">
        <v>1399</v>
      </c>
    </row>
    <row r="217" spans="1:1" x14ac:dyDescent="0.25">
      <c r="A217" s="658" t="s">
        <v>1400</v>
      </c>
    </row>
    <row r="218" spans="1:1" x14ac:dyDescent="0.25">
      <c r="A218" s="658" t="s">
        <v>1401</v>
      </c>
    </row>
    <row r="219" spans="1:1" x14ac:dyDescent="0.25">
      <c r="A219" s="658" t="s">
        <v>1402</v>
      </c>
    </row>
    <row r="220" spans="1:1" x14ac:dyDescent="0.25">
      <c r="A220" s="658" t="s">
        <v>1403</v>
      </c>
    </row>
    <row r="221" spans="1:1" x14ac:dyDescent="0.25">
      <c r="A221" s="658" t="s">
        <v>1404</v>
      </c>
    </row>
    <row r="222" spans="1:1" x14ac:dyDescent="0.25">
      <c r="A222" s="658" t="s">
        <v>1405</v>
      </c>
    </row>
    <row r="223" spans="1:1" x14ac:dyDescent="0.25">
      <c r="A223" s="658" t="s">
        <v>1406</v>
      </c>
    </row>
    <row r="224" spans="1:1" x14ac:dyDescent="0.25">
      <c r="A224" s="658" t="s">
        <v>1407</v>
      </c>
    </row>
    <row r="225" spans="1:1" x14ac:dyDescent="0.25">
      <c r="A225" s="658" t="s">
        <v>1408</v>
      </c>
    </row>
    <row r="226" spans="1:1" x14ac:dyDescent="0.25">
      <c r="A226" s="658" t="s">
        <v>1409</v>
      </c>
    </row>
    <row r="227" spans="1:1" x14ac:dyDescent="0.25">
      <c r="A227" s="658" t="s">
        <v>1410</v>
      </c>
    </row>
    <row r="228" spans="1:1" x14ac:dyDescent="0.25">
      <c r="A228" s="658" t="s">
        <v>1411</v>
      </c>
    </row>
    <row r="229" spans="1:1" x14ac:dyDescent="0.25">
      <c r="A229" s="658" t="s">
        <v>1412</v>
      </c>
    </row>
    <row r="230" spans="1:1" x14ac:dyDescent="0.25">
      <c r="A230" s="658" t="s">
        <v>1413</v>
      </c>
    </row>
    <row r="231" spans="1:1" x14ac:dyDescent="0.25">
      <c r="A231" s="658" t="s">
        <v>1414</v>
      </c>
    </row>
    <row r="232" spans="1:1" x14ac:dyDescent="0.25">
      <c r="A232" s="658" t="s">
        <v>1415</v>
      </c>
    </row>
    <row r="233" spans="1:1" x14ac:dyDescent="0.25">
      <c r="A233" s="658" t="s">
        <v>1416</v>
      </c>
    </row>
    <row r="234" spans="1:1" x14ac:dyDescent="0.25">
      <c r="A234" s="658" t="s">
        <v>1417</v>
      </c>
    </row>
    <row r="235" spans="1:1" x14ac:dyDescent="0.25">
      <c r="A235" s="658" t="s">
        <v>1418</v>
      </c>
    </row>
    <row r="236" spans="1:1" x14ac:dyDescent="0.25">
      <c r="A236" s="658" t="s">
        <v>1419</v>
      </c>
    </row>
    <row r="237" spans="1:1" x14ac:dyDescent="0.25">
      <c r="A237" s="658" t="s">
        <v>1420</v>
      </c>
    </row>
    <row r="238" spans="1:1" x14ac:dyDescent="0.25">
      <c r="A238" s="658" t="s">
        <v>1421</v>
      </c>
    </row>
    <row r="239" spans="1:1" x14ac:dyDescent="0.25">
      <c r="A239" s="658" t="s">
        <v>1422</v>
      </c>
    </row>
    <row r="240" spans="1:1" x14ac:dyDescent="0.25">
      <c r="A240" s="658" t="s">
        <v>1423</v>
      </c>
    </row>
    <row r="241" spans="1:1" x14ac:dyDescent="0.25">
      <c r="A241" s="658" t="s">
        <v>1424</v>
      </c>
    </row>
    <row r="242" spans="1:1" x14ac:dyDescent="0.25">
      <c r="A242" s="658" t="s">
        <v>1425</v>
      </c>
    </row>
    <row r="243" spans="1:1" x14ac:dyDescent="0.25">
      <c r="A243" s="658" t="s">
        <v>1426</v>
      </c>
    </row>
    <row r="244" spans="1:1" x14ac:dyDescent="0.25">
      <c r="A244" s="658" t="s">
        <v>1427</v>
      </c>
    </row>
    <row r="245" spans="1:1" x14ac:dyDescent="0.25">
      <c r="A245" s="658" t="s">
        <v>1428</v>
      </c>
    </row>
    <row r="246" spans="1:1" x14ac:dyDescent="0.25">
      <c r="A246" s="658" t="s">
        <v>1429</v>
      </c>
    </row>
    <row r="247" spans="1:1" x14ac:dyDescent="0.25">
      <c r="A247" s="658" t="s">
        <v>1430</v>
      </c>
    </row>
    <row r="248" spans="1:1" x14ac:dyDescent="0.25">
      <c r="A248" s="658" t="s">
        <v>1431</v>
      </c>
    </row>
    <row r="249" spans="1:1" x14ac:dyDescent="0.25">
      <c r="A249" s="658" t="s">
        <v>1432</v>
      </c>
    </row>
    <row r="250" spans="1:1" x14ac:dyDescent="0.25">
      <c r="A250" s="658" t="s">
        <v>1433</v>
      </c>
    </row>
    <row r="251" spans="1:1" x14ac:dyDescent="0.25">
      <c r="A251" s="658" t="s">
        <v>1434</v>
      </c>
    </row>
    <row r="252" spans="1:1" x14ac:dyDescent="0.25">
      <c r="A252" s="658" t="s">
        <v>1435</v>
      </c>
    </row>
    <row r="253" spans="1:1" x14ac:dyDescent="0.25">
      <c r="A253" s="658" t="s">
        <v>1436</v>
      </c>
    </row>
    <row r="254" spans="1:1" x14ac:dyDescent="0.25">
      <c r="A254" s="658" t="s">
        <v>1437</v>
      </c>
    </row>
    <row r="255" spans="1:1" x14ac:dyDescent="0.25">
      <c r="A255" s="658" t="s">
        <v>1438</v>
      </c>
    </row>
    <row r="256" spans="1:1" x14ac:dyDescent="0.25">
      <c r="A256" s="658" t="s">
        <v>1439</v>
      </c>
    </row>
    <row r="257" spans="1:1" x14ac:dyDescent="0.25">
      <c r="A257" s="658" t="s">
        <v>1440</v>
      </c>
    </row>
    <row r="258" spans="1:1" x14ac:dyDescent="0.25">
      <c r="A258" s="658" t="s">
        <v>1441</v>
      </c>
    </row>
    <row r="259" spans="1:1" x14ac:dyDescent="0.25">
      <c r="A259" s="658" t="s">
        <v>1442</v>
      </c>
    </row>
    <row r="260" spans="1:1" x14ac:dyDescent="0.25">
      <c r="A260" s="658" t="s">
        <v>1443</v>
      </c>
    </row>
    <row r="261" spans="1:1" x14ac:dyDescent="0.25">
      <c r="A261" s="658" t="s">
        <v>1444</v>
      </c>
    </row>
    <row r="262" spans="1:1" x14ac:dyDescent="0.25">
      <c r="A262" s="658" t="s">
        <v>1445</v>
      </c>
    </row>
    <row r="263" spans="1:1" x14ac:dyDescent="0.25">
      <c r="A263" s="658" t="s">
        <v>1446</v>
      </c>
    </row>
    <row r="264" spans="1:1" x14ac:dyDescent="0.25">
      <c r="A264" s="658" t="s">
        <v>1447</v>
      </c>
    </row>
    <row r="265" spans="1:1" x14ac:dyDescent="0.25">
      <c r="A265" s="658" t="s">
        <v>1448</v>
      </c>
    </row>
    <row r="266" spans="1:1" x14ac:dyDescent="0.25">
      <c r="A266" s="658" t="s">
        <v>1449</v>
      </c>
    </row>
    <row r="267" spans="1:1" x14ac:dyDescent="0.25">
      <c r="A267" s="658" t="s">
        <v>1450</v>
      </c>
    </row>
    <row r="268" spans="1:1" x14ac:dyDescent="0.25">
      <c r="A268" s="658" t="s">
        <v>1451</v>
      </c>
    </row>
    <row r="269" spans="1:1" x14ac:dyDescent="0.25">
      <c r="A269" s="658" t="s">
        <v>1452</v>
      </c>
    </row>
    <row r="270" spans="1:1" x14ac:dyDescent="0.25">
      <c r="A270" s="658" t="s">
        <v>1453</v>
      </c>
    </row>
    <row r="271" spans="1:1" x14ac:dyDescent="0.25">
      <c r="A271" s="658" t="s">
        <v>1454</v>
      </c>
    </row>
    <row r="272" spans="1:1" x14ac:dyDescent="0.25">
      <c r="A272" s="658" t="s">
        <v>1455</v>
      </c>
    </row>
    <row r="273" spans="1:1" x14ac:dyDescent="0.25">
      <c r="A273" s="658" t="s">
        <v>1456</v>
      </c>
    </row>
    <row r="274" spans="1:1" x14ac:dyDescent="0.25">
      <c r="A274" s="658" t="s">
        <v>1457</v>
      </c>
    </row>
    <row r="275" spans="1:1" x14ac:dyDescent="0.25">
      <c r="A275" s="658" t="s">
        <v>1458</v>
      </c>
    </row>
    <row r="276" spans="1:1" x14ac:dyDescent="0.25">
      <c r="A276" s="658" t="s">
        <v>1459</v>
      </c>
    </row>
    <row r="277" spans="1:1" x14ac:dyDescent="0.25">
      <c r="A277" s="658" t="s">
        <v>1460</v>
      </c>
    </row>
    <row r="278" spans="1:1" x14ac:dyDescent="0.25">
      <c r="A278" s="658" t="s">
        <v>1461</v>
      </c>
    </row>
    <row r="279" spans="1:1" x14ac:dyDescent="0.25">
      <c r="A279" s="658" t="s">
        <v>1462</v>
      </c>
    </row>
    <row r="280" spans="1:1" x14ac:dyDescent="0.25">
      <c r="A280" s="658" t="s">
        <v>1463</v>
      </c>
    </row>
    <row r="281" spans="1:1" x14ac:dyDescent="0.25">
      <c r="A281" s="658" t="s">
        <v>1464</v>
      </c>
    </row>
    <row r="282" spans="1:1" x14ac:dyDescent="0.25">
      <c r="A282" s="658" t="s">
        <v>1465</v>
      </c>
    </row>
    <row r="283" spans="1:1" x14ac:dyDescent="0.25">
      <c r="A283" s="658" t="s">
        <v>1466</v>
      </c>
    </row>
    <row r="284" spans="1:1" x14ac:dyDescent="0.25">
      <c r="A284" s="658" t="s">
        <v>1467</v>
      </c>
    </row>
    <row r="285" spans="1:1" x14ac:dyDescent="0.25">
      <c r="A285" s="658" t="s">
        <v>1468</v>
      </c>
    </row>
    <row r="286" spans="1:1" x14ac:dyDescent="0.25">
      <c r="A286" s="658" t="s">
        <v>1469</v>
      </c>
    </row>
    <row r="287" spans="1:1" x14ac:dyDescent="0.25">
      <c r="A287" s="658" t="s">
        <v>1470</v>
      </c>
    </row>
    <row r="288" spans="1:1" x14ac:dyDescent="0.25">
      <c r="A288" s="658" t="s">
        <v>1471</v>
      </c>
    </row>
    <row r="289" spans="1:1" x14ac:dyDescent="0.25">
      <c r="A289" s="658" t="s">
        <v>1472</v>
      </c>
    </row>
    <row r="290" spans="1:1" x14ac:dyDescent="0.25">
      <c r="A290" s="658" t="s">
        <v>1473</v>
      </c>
    </row>
    <row r="291" spans="1:1" x14ac:dyDescent="0.25">
      <c r="A291" s="658" t="s">
        <v>1474</v>
      </c>
    </row>
    <row r="292" spans="1:1" x14ac:dyDescent="0.25">
      <c r="A292" s="658" t="s">
        <v>1475</v>
      </c>
    </row>
    <row r="293" spans="1:1" x14ac:dyDescent="0.25">
      <c r="A293" s="658" t="s">
        <v>1476</v>
      </c>
    </row>
    <row r="294" spans="1:1" x14ac:dyDescent="0.25">
      <c r="A294" s="658" t="s">
        <v>1477</v>
      </c>
    </row>
    <row r="295" spans="1:1" x14ac:dyDescent="0.25">
      <c r="A295" s="658" t="s">
        <v>1478</v>
      </c>
    </row>
    <row r="296" spans="1:1" x14ac:dyDescent="0.25">
      <c r="A296" s="658" t="s">
        <v>1479</v>
      </c>
    </row>
    <row r="297" spans="1:1" x14ac:dyDescent="0.25">
      <c r="A297" s="658" t="s">
        <v>1480</v>
      </c>
    </row>
    <row r="298" spans="1:1" x14ac:dyDescent="0.25">
      <c r="A298" s="658" t="s">
        <v>1481</v>
      </c>
    </row>
    <row r="299" spans="1:1" x14ac:dyDescent="0.25">
      <c r="A299" s="658" t="s">
        <v>1482</v>
      </c>
    </row>
    <row r="300" spans="1:1" x14ac:dyDescent="0.25">
      <c r="A300" s="658" t="s">
        <v>1483</v>
      </c>
    </row>
    <row r="301" spans="1:1" x14ac:dyDescent="0.25">
      <c r="A301" s="658" t="s">
        <v>1484</v>
      </c>
    </row>
    <row r="302" spans="1:1" x14ac:dyDescent="0.25">
      <c r="A302" s="658" t="s">
        <v>1485</v>
      </c>
    </row>
    <row r="303" spans="1:1" x14ac:dyDescent="0.25">
      <c r="A303" s="658" t="s">
        <v>1486</v>
      </c>
    </row>
    <row r="304" spans="1:1" x14ac:dyDescent="0.25">
      <c r="A304" s="658" t="s">
        <v>1487</v>
      </c>
    </row>
    <row r="305" spans="1:1" x14ac:dyDescent="0.25">
      <c r="A305" s="658" t="s">
        <v>1488</v>
      </c>
    </row>
    <row r="306" spans="1:1" x14ac:dyDescent="0.25">
      <c r="A306" s="658" t="s">
        <v>1489</v>
      </c>
    </row>
    <row r="307" spans="1:1" x14ac:dyDescent="0.25">
      <c r="A307" s="658" t="s">
        <v>1490</v>
      </c>
    </row>
    <row r="308" spans="1:1" x14ac:dyDescent="0.25">
      <c r="A308" s="658" t="s">
        <v>1491</v>
      </c>
    </row>
    <row r="309" spans="1:1" x14ac:dyDescent="0.25">
      <c r="A309" s="658" t="s">
        <v>1492</v>
      </c>
    </row>
    <row r="310" spans="1:1" x14ac:dyDescent="0.25">
      <c r="A310" s="658" t="s">
        <v>1493</v>
      </c>
    </row>
    <row r="311" spans="1:1" x14ac:dyDescent="0.25">
      <c r="A311" s="658" t="s">
        <v>1494</v>
      </c>
    </row>
    <row r="312" spans="1:1" x14ac:dyDescent="0.25">
      <c r="A312" s="658" t="s">
        <v>1495</v>
      </c>
    </row>
    <row r="313" spans="1:1" x14ac:dyDescent="0.25">
      <c r="A313" s="658" t="s">
        <v>1496</v>
      </c>
    </row>
    <row r="314" spans="1:1" x14ac:dyDescent="0.25">
      <c r="A314" s="658" t="s">
        <v>1497</v>
      </c>
    </row>
    <row r="315" spans="1:1" x14ac:dyDescent="0.25">
      <c r="A315" s="658" t="s">
        <v>1498</v>
      </c>
    </row>
    <row r="316" spans="1:1" x14ac:dyDescent="0.25">
      <c r="A316" s="658" t="s">
        <v>1499</v>
      </c>
    </row>
    <row r="317" spans="1:1" x14ac:dyDescent="0.25">
      <c r="A317" s="658" t="s">
        <v>1500</v>
      </c>
    </row>
    <row r="318" spans="1:1" x14ac:dyDescent="0.25">
      <c r="A318" s="658" t="s">
        <v>1501</v>
      </c>
    </row>
    <row r="319" spans="1:1" x14ac:dyDescent="0.25">
      <c r="A319" s="658" t="s">
        <v>1502</v>
      </c>
    </row>
    <row r="320" spans="1:1" x14ac:dyDescent="0.25">
      <c r="A320" s="658" t="s">
        <v>1503</v>
      </c>
    </row>
    <row r="321" spans="1:1" x14ac:dyDescent="0.25">
      <c r="A321" s="658" t="s">
        <v>1504</v>
      </c>
    </row>
    <row r="322" spans="1:1" x14ac:dyDescent="0.25">
      <c r="A322" s="658" t="s">
        <v>1505</v>
      </c>
    </row>
    <row r="323" spans="1:1" x14ac:dyDescent="0.25">
      <c r="A323" s="658" t="s">
        <v>1506</v>
      </c>
    </row>
    <row r="324" spans="1:1" x14ac:dyDescent="0.25">
      <c r="A324" s="658" t="s">
        <v>1507</v>
      </c>
    </row>
    <row r="325" spans="1:1" x14ac:dyDescent="0.25">
      <c r="A325" s="658" t="s">
        <v>1508</v>
      </c>
    </row>
    <row r="326" spans="1:1" x14ac:dyDescent="0.25">
      <c r="A326" s="658" t="s">
        <v>1509</v>
      </c>
    </row>
    <row r="327" spans="1:1" x14ac:dyDescent="0.25">
      <c r="A327" s="658" t="s">
        <v>1510</v>
      </c>
    </row>
    <row r="328" spans="1:1" x14ac:dyDescent="0.25">
      <c r="A328" s="658" t="s">
        <v>1511</v>
      </c>
    </row>
    <row r="329" spans="1:1" x14ac:dyDescent="0.25">
      <c r="A329" s="658" t="s">
        <v>1512</v>
      </c>
    </row>
    <row r="330" spans="1:1" x14ac:dyDescent="0.25">
      <c r="A330" s="658" t="s">
        <v>1513</v>
      </c>
    </row>
    <row r="331" spans="1:1" x14ac:dyDescent="0.25">
      <c r="A331" s="658" t="s">
        <v>1514</v>
      </c>
    </row>
    <row r="332" spans="1:1" x14ac:dyDescent="0.25">
      <c r="A332" s="658" t="s">
        <v>1515</v>
      </c>
    </row>
    <row r="333" spans="1:1" x14ac:dyDescent="0.25">
      <c r="A333" s="658" t="s">
        <v>1516</v>
      </c>
    </row>
    <row r="334" spans="1:1" x14ac:dyDescent="0.25">
      <c r="A334" s="658" t="s">
        <v>1517</v>
      </c>
    </row>
    <row r="335" spans="1:1" x14ac:dyDescent="0.25">
      <c r="A335" s="658" t="s">
        <v>1518</v>
      </c>
    </row>
    <row r="336" spans="1:1" x14ac:dyDescent="0.25">
      <c r="A336" s="658" t="s">
        <v>1519</v>
      </c>
    </row>
    <row r="337" spans="1:1" x14ac:dyDescent="0.25">
      <c r="A337" s="658" t="s">
        <v>1520</v>
      </c>
    </row>
    <row r="338" spans="1:1" x14ac:dyDescent="0.25">
      <c r="A338" s="658" t="s">
        <v>1521</v>
      </c>
    </row>
    <row r="339" spans="1:1" x14ac:dyDescent="0.25">
      <c r="A339" s="658" t="s">
        <v>1522</v>
      </c>
    </row>
    <row r="340" spans="1:1" x14ac:dyDescent="0.25">
      <c r="A340" s="658" t="s">
        <v>1523</v>
      </c>
    </row>
    <row r="341" spans="1:1" x14ac:dyDescent="0.25">
      <c r="A341" s="658" t="s">
        <v>1524</v>
      </c>
    </row>
    <row r="342" spans="1:1" x14ac:dyDescent="0.25">
      <c r="A342" s="658" t="s">
        <v>1525</v>
      </c>
    </row>
    <row r="343" spans="1:1" x14ac:dyDescent="0.25">
      <c r="A343" s="658" t="s">
        <v>1526</v>
      </c>
    </row>
    <row r="344" spans="1:1" x14ac:dyDescent="0.25">
      <c r="A344" s="658" t="s">
        <v>1527</v>
      </c>
    </row>
    <row r="345" spans="1:1" x14ac:dyDescent="0.25">
      <c r="A345" s="658" t="s">
        <v>1528</v>
      </c>
    </row>
    <row r="346" spans="1:1" x14ac:dyDescent="0.25">
      <c r="A346" s="658" t="s">
        <v>1529</v>
      </c>
    </row>
    <row r="347" spans="1:1" x14ac:dyDescent="0.25">
      <c r="A347" s="658" t="s">
        <v>1530</v>
      </c>
    </row>
    <row r="348" spans="1:1" x14ac:dyDescent="0.25">
      <c r="A348" s="658" t="s">
        <v>1531</v>
      </c>
    </row>
    <row r="349" spans="1:1" x14ac:dyDescent="0.25">
      <c r="A349" s="658" t="s">
        <v>1532</v>
      </c>
    </row>
    <row r="350" spans="1:1" x14ac:dyDescent="0.25">
      <c r="A350" s="658" t="s">
        <v>1533</v>
      </c>
    </row>
    <row r="351" spans="1:1" x14ac:dyDescent="0.25">
      <c r="A351" s="658" t="s">
        <v>1534</v>
      </c>
    </row>
    <row r="352" spans="1:1" x14ac:dyDescent="0.25">
      <c r="A352" s="658" t="s">
        <v>1535</v>
      </c>
    </row>
    <row r="353" spans="1:1" x14ac:dyDescent="0.25">
      <c r="A353" s="658" t="s">
        <v>1536</v>
      </c>
    </row>
    <row r="354" spans="1:1" x14ac:dyDescent="0.25">
      <c r="A354" s="658" t="s">
        <v>1537</v>
      </c>
    </row>
    <row r="355" spans="1:1" x14ac:dyDescent="0.25">
      <c r="A355" s="658" t="s">
        <v>1538</v>
      </c>
    </row>
    <row r="356" spans="1:1" x14ac:dyDescent="0.25">
      <c r="A356" s="658" t="s">
        <v>1539</v>
      </c>
    </row>
    <row r="357" spans="1:1" x14ac:dyDescent="0.25">
      <c r="A357" s="658" t="s">
        <v>1540</v>
      </c>
    </row>
    <row r="358" spans="1:1" x14ac:dyDescent="0.25">
      <c r="A358" s="658" t="s">
        <v>1541</v>
      </c>
    </row>
    <row r="359" spans="1:1" x14ac:dyDescent="0.25">
      <c r="A359" s="658" t="s">
        <v>1542</v>
      </c>
    </row>
    <row r="360" spans="1:1" x14ac:dyDescent="0.25">
      <c r="A360" s="658" t="s">
        <v>1543</v>
      </c>
    </row>
    <row r="361" spans="1:1" x14ac:dyDescent="0.25">
      <c r="A361" s="658" t="s">
        <v>1544</v>
      </c>
    </row>
    <row r="362" spans="1:1" x14ac:dyDescent="0.25">
      <c r="A362" s="658" t="s">
        <v>1545</v>
      </c>
    </row>
    <row r="363" spans="1:1" x14ac:dyDescent="0.25">
      <c r="A363" s="658" t="s">
        <v>1546</v>
      </c>
    </row>
    <row r="364" spans="1:1" x14ac:dyDescent="0.25">
      <c r="A364" s="658" t="s">
        <v>1547</v>
      </c>
    </row>
    <row r="365" spans="1:1" x14ac:dyDescent="0.25">
      <c r="A365" s="658" t="s">
        <v>1548</v>
      </c>
    </row>
    <row r="366" spans="1:1" x14ac:dyDescent="0.25">
      <c r="A366" s="658" t="s">
        <v>1549</v>
      </c>
    </row>
    <row r="367" spans="1:1" x14ac:dyDescent="0.25">
      <c r="A367" s="658" t="s">
        <v>1550</v>
      </c>
    </row>
    <row r="368" spans="1:1" x14ac:dyDescent="0.25">
      <c r="A368" s="658" t="s">
        <v>1551</v>
      </c>
    </row>
    <row r="369" spans="1:1" x14ac:dyDescent="0.25">
      <c r="A369" s="658" t="s">
        <v>1552</v>
      </c>
    </row>
    <row r="370" spans="1:1" x14ac:dyDescent="0.25">
      <c r="A370" s="658" t="s">
        <v>1553</v>
      </c>
    </row>
    <row r="371" spans="1:1" x14ac:dyDescent="0.25">
      <c r="A371" s="658" t="s">
        <v>1554</v>
      </c>
    </row>
    <row r="372" spans="1:1" x14ac:dyDescent="0.25">
      <c r="A372" s="658" t="s">
        <v>1555</v>
      </c>
    </row>
    <row r="373" spans="1:1" x14ac:dyDescent="0.25">
      <c r="A373" s="658" t="s">
        <v>1556</v>
      </c>
    </row>
    <row r="374" spans="1:1" x14ac:dyDescent="0.25">
      <c r="A374" s="658" t="s">
        <v>1557</v>
      </c>
    </row>
    <row r="375" spans="1:1" x14ac:dyDescent="0.25">
      <c r="A375" s="658" t="s">
        <v>1558</v>
      </c>
    </row>
    <row r="376" spans="1:1" x14ac:dyDescent="0.25">
      <c r="A376" s="658" t="s">
        <v>1559</v>
      </c>
    </row>
    <row r="377" spans="1:1" x14ac:dyDescent="0.25">
      <c r="A377" s="658" t="s">
        <v>1560</v>
      </c>
    </row>
    <row r="378" spans="1:1" x14ac:dyDescent="0.25">
      <c r="A378" s="658" t="s">
        <v>1561</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heetViews>
  <sheetFormatPr defaultColWidth="0" defaultRowHeight="0" customHeight="1" zeroHeight="1" x14ac:dyDescent="0.25"/>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x14ac:dyDescent="0.5">
      <c r="B1" s="2"/>
      <c r="C1" s="2"/>
      <c r="E1" s="6"/>
      <c r="F1" s="719"/>
      <c r="G1" s="719"/>
      <c r="H1" s="719"/>
      <c r="I1" s="719"/>
      <c r="J1" s="719"/>
      <c r="K1" s="720"/>
      <c r="L1" s="720"/>
      <c r="M1" s="720"/>
      <c r="N1" s="720"/>
      <c r="O1" s="720"/>
    </row>
    <row r="2" spans="1:23" ht="15.75" customHeight="1" x14ac:dyDescent="0.25">
      <c r="B2" s="2"/>
      <c r="C2" s="2"/>
      <c r="D2" s="724"/>
      <c r="E2" s="724"/>
    </row>
    <row r="3" spans="1:23" ht="15.75" customHeight="1" x14ac:dyDescent="0.5">
      <c r="A3" s="6"/>
      <c r="B3" s="6"/>
      <c r="C3" s="6"/>
      <c r="D3" s="6"/>
      <c r="E3" s="6"/>
      <c r="F3" s="7"/>
      <c r="G3" s="7"/>
      <c r="H3" s="7"/>
      <c r="I3" s="7"/>
      <c r="J3" s="7"/>
      <c r="K3" s="7"/>
      <c r="L3" s="7"/>
      <c r="M3" s="7"/>
      <c r="N3" s="7"/>
      <c r="O3" s="7"/>
      <c r="P3" s="7"/>
      <c r="Q3" s="717" t="s">
        <v>21</v>
      </c>
      <c r="R3" s="718"/>
      <c r="S3" s="718"/>
    </row>
    <row r="4" spans="1:23" ht="35.25" customHeight="1" x14ac:dyDescent="0.5">
      <c r="A4" s="6"/>
      <c r="B4" s="6"/>
      <c r="C4" s="6"/>
      <c r="D4" s="6"/>
      <c r="E4" s="6"/>
      <c r="F4" s="7"/>
      <c r="G4" s="7"/>
      <c r="H4" s="7"/>
      <c r="I4" s="7"/>
      <c r="J4" s="7"/>
      <c r="K4" s="7"/>
      <c r="L4" s="7"/>
      <c r="M4" s="7"/>
      <c r="N4" s="7"/>
      <c r="O4" s="7"/>
      <c r="P4" s="7"/>
      <c r="Q4" s="722" t="s">
        <v>22</v>
      </c>
      <c r="R4" s="715" t="s">
        <v>23</v>
      </c>
      <c r="S4" s="715"/>
      <c r="T4" s="715"/>
      <c r="U4" s="715"/>
      <c r="V4" s="715"/>
      <c r="W4" s="716"/>
    </row>
    <row r="5" spans="1:23" ht="16.5" customHeight="1" x14ac:dyDescent="0.5">
      <c r="A5" s="6"/>
      <c r="B5" s="6"/>
      <c r="C5" s="6"/>
      <c r="D5" s="6"/>
      <c r="E5" s="6"/>
      <c r="F5" s="4"/>
      <c r="G5" s="4"/>
      <c r="H5" s="4"/>
      <c r="I5" s="4"/>
      <c r="J5" s="4"/>
      <c r="K5" s="4"/>
      <c r="L5" s="4"/>
      <c r="M5" s="4"/>
      <c r="N5" s="4"/>
      <c r="O5" s="4"/>
      <c r="P5" s="4"/>
      <c r="Q5" s="723"/>
      <c r="R5" s="627" t="s">
        <v>24</v>
      </c>
      <c r="S5" s="628" t="s">
        <v>25</v>
      </c>
      <c r="T5" s="629" t="s">
        <v>26</v>
      </c>
      <c r="U5" s="628" t="s">
        <v>25</v>
      </c>
      <c r="V5" s="628" t="s">
        <v>27</v>
      </c>
      <c r="W5" s="628" t="s">
        <v>25</v>
      </c>
    </row>
    <row r="6" spans="1:23" ht="16.5" customHeight="1" x14ac:dyDescent="0.5">
      <c r="B6" s="2"/>
      <c r="C6" s="2"/>
      <c r="D6" s="6"/>
      <c r="E6" s="6"/>
      <c r="F6" s="4"/>
      <c r="G6" s="4"/>
      <c r="H6" s="4"/>
      <c r="I6" s="4"/>
      <c r="J6" s="4"/>
      <c r="K6" s="4"/>
      <c r="L6" s="4"/>
      <c r="M6" s="4"/>
      <c r="N6" s="4"/>
      <c r="O6" s="4"/>
      <c r="P6" s="4"/>
      <c r="Q6" s="626" t="s">
        <v>28</v>
      </c>
      <c r="R6" s="21"/>
      <c r="S6" s="561">
        <f>R6*'G-3 Multipliers'!$Z$4</f>
        <v>0</v>
      </c>
      <c r="T6" s="21"/>
      <c r="U6" s="561">
        <f>T6*'G-3 Multipliers'!$Z$4</f>
        <v>0</v>
      </c>
      <c r="V6" s="21"/>
      <c r="W6" s="561">
        <f>V6*'G-3 Multipliers'!$Z$4</f>
        <v>0</v>
      </c>
    </row>
    <row r="7" spans="1:23" ht="16.5" customHeight="1" x14ac:dyDescent="0.5">
      <c r="B7" s="2"/>
      <c r="C7" s="6"/>
      <c r="D7" s="6"/>
      <c r="E7" s="6"/>
      <c r="F7" s="4"/>
      <c r="G7" s="4"/>
      <c r="H7" s="4"/>
      <c r="I7" s="4"/>
      <c r="J7" s="4"/>
      <c r="K7" s="4"/>
      <c r="L7" s="4"/>
      <c r="M7" s="4"/>
      <c r="N7" s="4"/>
      <c r="O7" s="4"/>
      <c r="P7" s="4"/>
      <c r="Q7" s="626" t="s">
        <v>29</v>
      </c>
      <c r="R7" s="21"/>
      <c r="S7" s="561">
        <f>R7*'G-3 Multipliers'!$Z$5</f>
        <v>0</v>
      </c>
      <c r="T7" s="21"/>
      <c r="U7" s="561">
        <f>T7*'G-3 Multipliers'!$Z$5</f>
        <v>0</v>
      </c>
      <c r="V7" s="21"/>
      <c r="W7" s="561">
        <f>V7*'G-3 Multipliers'!$Z$5</f>
        <v>0</v>
      </c>
    </row>
    <row r="8" spans="1:23" ht="18" customHeight="1" x14ac:dyDescent="0.5">
      <c r="B8" s="2"/>
      <c r="C8" s="2"/>
      <c r="D8" s="6"/>
      <c r="E8" s="6"/>
      <c r="F8" s="4"/>
      <c r="G8" s="4"/>
      <c r="H8" s="4"/>
      <c r="I8" s="4"/>
      <c r="J8" s="4"/>
      <c r="K8" s="4"/>
      <c r="L8" s="4"/>
      <c r="M8" s="4"/>
      <c r="N8" s="4"/>
      <c r="O8" s="4"/>
      <c r="P8" s="4"/>
      <c r="Q8" s="626" t="s">
        <v>30</v>
      </c>
      <c r="R8" s="21"/>
      <c r="S8" s="561">
        <f>R8*'G-3 Multipliers'!$Z$6</f>
        <v>0</v>
      </c>
      <c r="T8" s="21"/>
      <c r="U8" s="561">
        <f>T8*'G-3 Multipliers'!$Z$6</f>
        <v>0</v>
      </c>
      <c r="V8" s="21"/>
      <c r="W8" s="561">
        <f>V8*'G-3 Multipliers'!$Z$6</f>
        <v>0</v>
      </c>
    </row>
    <row r="9" spans="1:23" ht="16.5" customHeight="1" x14ac:dyDescent="0.25">
      <c r="B9" s="2"/>
      <c r="C9" s="2"/>
      <c r="D9" s="3"/>
      <c r="E9" s="3"/>
      <c r="F9" s="4"/>
      <c r="G9" s="4"/>
      <c r="H9" s="4"/>
      <c r="I9" s="4"/>
      <c r="J9" s="4"/>
      <c r="K9" s="4"/>
      <c r="L9" s="4"/>
      <c r="M9" s="4"/>
      <c r="N9" s="4"/>
      <c r="O9" s="4"/>
      <c r="P9" s="4"/>
      <c r="Q9" s="626" t="s">
        <v>31</v>
      </c>
      <c r="R9" s="652">
        <f t="shared" ref="R9:W9" si="0">SUM(R6:R8)</f>
        <v>0</v>
      </c>
      <c r="S9" s="560">
        <f t="shared" si="0"/>
        <v>0</v>
      </c>
      <c r="T9" s="652">
        <f t="shared" si="0"/>
        <v>0</v>
      </c>
      <c r="U9" s="560">
        <f t="shared" si="0"/>
        <v>0</v>
      </c>
      <c r="V9" s="652">
        <f t="shared" si="0"/>
        <v>0</v>
      </c>
      <c r="W9" s="560">
        <f t="shared" si="0"/>
        <v>0</v>
      </c>
    </row>
    <row r="10" spans="1:23" ht="30" customHeight="1" x14ac:dyDescent="0.35">
      <c r="B10" s="2"/>
      <c r="C10" s="2"/>
      <c r="D10" s="5"/>
      <c r="E10" s="5"/>
      <c r="F10" s="721"/>
      <c r="G10" s="721"/>
      <c r="H10" s="721"/>
      <c r="I10" s="721"/>
      <c r="J10" s="721"/>
      <c r="K10" s="721"/>
      <c r="L10" s="721"/>
      <c r="M10" s="721"/>
      <c r="N10" s="721"/>
      <c r="O10" s="721"/>
      <c r="P10" s="721"/>
    </row>
    <row r="11" spans="1:23" ht="16.5" customHeight="1" x14ac:dyDescent="0.25">
      <c r="B11" s="2"/>
      <c r="C11" s="2"/>
    </row>
    <row r="12" spans="1:23" ht="16.5" customHeight="1" x14ac:dyDescent="0.25">
      <c r="B12" s="2"/>
      <c r="C12" s="2"/>
    </row>
    <row r="13" spans="1:23" ht="16.5" customHeight="1" x14ac:dyDescent="0.25">
      <c r="B13" s="2"/>
      <c r="C13" s="2"/>
    </row>
    <row r="14" spans="1:23" ht="16.5" customHeight="1" x14ac:dyDescent="0.25">
      <c r="B14" s="2"/>
      <c r="C14" s="2"/>
    </row>
    <row r="15" spans="1:23" ht="16.5" customHeight="1" x14ac:dyDescent="0.25">
      <c r="B15" s="2"/>
      <c r="C15" s="2"/>
    </row>
    <row r="16" spans="1:23"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89.45" customHeight="1"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8.600000000000001" customHeight="1" x14ac:dyDescent="0.25"/>
    <row r="53" ht="15" hidden="1" x14ac:dyDescent="0.2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2"/>
  <cols>
    <col min="1" max="3" width="2.140625" style="253" customWidth="1"/>
    <col min="4" max="4" width="18.7109375" style="253" customWidth="1"/>
    <col min="5" max="8" width="9.140625" style="253" customWidth="1"/>
    <col min="9" max="9" width="7" style="253" customWidth="1"/>
    <col min="10" max="12" width="9.140625" style="253" customWidth="1"/>
    <col min="13" max="13" width="12.140625" style="253" customWidth="1"/>
    <col min="14" max="14" width="5.7109375" style="253" customWidth="1"/>
    <col min="15" max="15" width="9.140625" style="253" customWidth="1"/>
    <col min="16" max="16" width="34.5703125" style="253" customWidth="1"/>
    <col min="17" max="17" width="13.7109375" style="253" bestFit="1" customWidth="1"/>
    <col min="18" max="18" width="19.28515625" style="253" customWidth="1"/>
    <col min="19" max="31" width="9.140625" style="253" customWidth="1"/>
    <col min="32" max="16384" width="9.140625" style="253" hidden="1"/>
  </cols>
  <sheetData>
    <row r="1" spans="1:18" ht="15.75" customHeight="1" x14ac:dyDescent="0.4">
      <c r="B1" s="254"/>
      <c r="C1" s="254"/>
      <c r="E1" s="255"/>
      <c r="F1" s="725"/>
      <c r="G1" s="725"/>
      <c r="H1" s="725"/>
      <c r="I1" s="725"/>
      <c r="J1" s="725"/>
      <c r="K1" s="726"/>
      <c r="L1" s="726"/>
      <c r="M1" s="726"/>
      <c r="N1" s="726"/>
      <c r="O1" s="726"/>
    </row>
    <row r="2" spans="1:18" ht="15.75" customHeight="1" x14ac:dyDescent="0.4">
      <c r="B2" s="254"/>
      <c r="C2" s="254"/>
      <c r="E2" s="255"/>
    </row>
    <row r="3" spans="1:18" ht="15.75" customHeight="1" x14ac:dyDescent="0.4">
      <c r="A3" s="255"/>
      <c r="B3" s="255"/>
      <c r="C3" s="255"/>
      <c r="D3" s="255"/>
      <c r="E3" s="255"/>
      <c r="F3" s="256"/>
      <c r="G3" s="256"/>
      <c r="H3" s="256"/>
      <c r="I3" s="256"/>
      <c r="J3" s="256"/>
      <c r="K3" s="256"/>
      <c r="L3" s="256"/>
      <c r="M3" s="256"/>
      <c r="N3" s="256"/>
      <c r="O3" s="256"/>
      <c r="P3" s="256"/>
    </row>
    <row r="4" spans="1:18" ht="16.5" customHeight="1" x14ac:dyDescent="0.4">
      <c r="A4" s="255"/>
      <c r="B4" s="255"/>
      <c r="C4" s="255"/>
      <c r="D4" s="255"/>
      <c r="E4" s="255"/>
      <c r="F4" s="256"/>
      <c r="G4" s="256"/>
      <c r="H4" s="256"/>
      <c r="I4" s="256"/>
      <c r="J4" s="256"/>
      <c r="K4" s="256"/>
      <c r="L4" s="256"/>
      <c r="M4" s="256"/>
      <c r="N4" s="256"/>
      <c r="O4" s="256"/>
      <c r="P4" s="256"/>
    </row>
    <row r="5" spans="1:18" ht="16.5" customHeight="1" x14ac:dyDescent="0.4">
      <c r="A5" s="255"/>
      <c r="B5" s="255"/>
      <c r="C5" s="255"/>
      <c r="D5" s="255"/>
      <c r="E5" s="255"/>
      <c r="F5" s="257"/>
      <c r="G5" s="257"/>
      <c r="H5" s="257"/>
      <c r="I5" s="257"/>
      <c r="J5" s="257"/>
      <c r="K5" s="257"/>
      <c r="L5" s="257"/>
      <c r="M5" s="257"/>
      <c r="N5" s="257"/>
      <c r="O5" s="257"/>
      <c r="P5" s="257"/>
      <c r="Q5" s="257"/>
      <c r="R5" s="257"/>
    </row>
    <row r="6" spans="1:18" ht="16.5" customHeight="1" x14ac:dyDescent="0.4">
      <c r="B6" s="254"/>
      <c r="C6" s="254"/>
      <c r="D6" s="255"/>
      <c r="E6" s="255"/>
      <c r="F6" s="257"/>
      <c r="G6" s="257"/>
      <c r="H6" s="257"/>
      <c r="I6" s="257"/>
      <c r="J6" s="257"/>
      <c r="K6" s="257"/>
      <c r="L6" s="257"/>
      <c r="M6" s="257"/>
      <c r="N6" s="257"/>
      <c r="O6" s="257"/>
      <c r="P6" s="257"/>
      <c r="Q6" s="257"/>
      <c r="R6" s="257"/>
    </row>
    <row r="7" spans="1:18" ht="16.5" customHeight="1" x14ac:dyDescent="0.4">
      <c r="B7" s="254"/>
      <c r="C7" s="255"/>
      <c r="D7" s="255"/>
      <c r="E7" s="255"/>
      <c r="F7" s="257"/>
      <c r="G7" s="257"/>
      <c r="H7" s="257"/>
      <c r="I7" s="257"/>
      <c r="J7" s="257"/>
      <c r="K7" s="257"/>
      <c r="L7" s="257"/>
      <c r="M7" s="257"/>
      <c r="N7" s="257"/>
      <c r="O7" s="257"/>
      <c r="P7" s="257"/>
      <c r="Q7" s="257"/>
      <c r="R7" s="257"/>
    </row>
    <row r="8" spans="1:18" ht="16.5" customHeight="1" x14ac:dyDescent="0.4">
      <c r="B8" s="254"/>
      <c r="C8" s="254"/>
      <c r="D8" s="255"/>
      <c r="E8" s="255"/>
      <c r="F8" s="257"/>
      <c r="G8" s="257"/>
      <c r="H8" s="257"/>
      <c r="I8" s="257"/>
      <c r="J8" s="257"/>
      <c r="K8" s="257"/>
      <c r="L8" s="257"/>
      <c r="M8" s="257"/>
      <c r="N8" s="257"/>
      <c r="O8" s="257"/>
      <c r="P8" s="257"/>
      <c r="Q8" s="257"/>
      <c r="R8" s="257"/>
    </row>
    <row r="9" spans="1:18" ht="16.5" customHeight="1" x14ac:dyDescent="0.2">
      <c r="B9" s="254"/>
      <c r="C9" s="254"/>
      <c r="D9" s="258"/>
      <c r="E9" s="258"/>
      <c r="F9" s="257"/>
      <c r="G9" s="257"/>
      <c r="H9" s="257"/>
      <c r="I9" s="257"/>
      <c r="J9" s="257"/>
      <c r="K9" s="257"/>
      <c r="L9" s="257"/>
      <c r="M9" s="257"/>
      <c r="N9" s="257"/>
      <c r="O9" s="257"/>
      <c r="P9" s="257"/>
      <c r="Q9" s="257"/>
      <c r="R9" s="257"/>
    </row>
    <row r="10" spans="1:18" ht="30" customHeight="1" x14ac:dyDescent="0.3">
      <c r="B10" s="254"/>
      <c r="C10" s="254"/>
      <c r="D10" s="727"/>
      <c r="E10" s="727"/>
      <c r="F10" s="727"/>
      <c r="G10" s="727"/>
      <c r="H10" s="727"/>
      <c r="I10" s="727"/>
      <c r="J10" s="727"/>
      <c r="K10" s="727"/>
      <c r="L10" s="727"/>
      <c r="M10" s="727"/>
    </row>
    <row r="11" spans="1:18" ht="16.5" customHeight="1" x14ac:dyDescent="0.2">
      <c r="B11" s="254"/>
      <c r="C11" s="254"/>
    </row>
    <row r="12" spans="1:18" ht="16.5" customHeight="1" x14ac:dyDescent="0.2">
      <c r="B12" s="254"/>
      <c r="C12" s="254"/>
    </row>
    <row r="13" spans="1:18" ht="16.5" customHeight="1" x14ac:dyDescent="0.2">
      <c r="B13" s="254"/>
      <c r="C13" s="254"/>
    </row>
    <row r="14" spans="1:18" ht="16.5" customHeight="1" x14ac:dyDescent="0.2">
      <c r="B14" s="254"/>
      <c r="C14" s="254"/>
    </row>
    <row r="15" spans="1:18" ht="16.5" customHeight="1" x14ac:dyDescent="0.2">
      <c r="B15" s="254"/>
      <c r="C15" s="254"/>
    </row>
    <row r="16" spans="1:18"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4.25" x14ac:dyDescent="0.2"/>
    <row r="28" ht="14.25" x14ac:dyDescent="0.2"/>
    <row r="29" ht="14.25" x14ac:dyDescent="0.2"/>
    <row r="30" ht="14.25" x14ac:dyDescent="0.2"/>
    <row r="31" ht="14.25" x14ac:dyDescent="0.2"/>
    <row r="32"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hidden="1" x14ac:dyDescent="0.2"/>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topLeftCell="A16" zoomScale="70" zoomScaleNormal="70" workbookViewId="0"/>
  </sheetViews>
  <sheetFormatPr defaultColWidth="0" defaultRowHeight="14.25" zeroHeight="1" x14ac:dyDescent="0.2"/>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x14ac:dyDescent="0.25"/>
    <row r="2" spans="2:22" ht="19.149999999999999" customHeight="1" thickBot="1" x14ac:dyDescent="0.25">
      <c r="B2" s="743" t="str">
        <f>IF(Start!$F$12="","",Start!$F$12)</f>
        <v>Tyting Farm Mitigation Bank</v>
      </c>
      <c r="C2" s="744"/>
      <c r="D2" s="745"/>
    </row>
    <row r="3" spans="2:22" ht="15.75" customHeight="1" x14ac:dyDescent="0.2">
      <c r="B3" s="728" t="str">
        <f ca="1">MID(CELL("filename",A1),FIND("]",CELL("filename",A1))+1,256)</f>
        <v>Headline Results</v>
      </c>
      <c r="C3" s="729"/>
      <c r="D3" s="730"/>
    </row>
    <row r="4" spans="2:22" ht="15.75" customHeight="1" thickBot="1" x14ac:dyDescent="0.25">
      <c r="B4" s="731"/>
      <c r="C4" s="732"/>
      <c r="D4" s="733"/>
    </row>
    <row r="5" spans="2:22" ht="9.9499999999999993" customHeight="1" x14ac:dyDescent="0.2"/>
    <row r="6" spans="2:22" ht="9.9499999999999993" customHeight="1" x14ac:dyDescent="0.4">
      <c r="B6" s="734"/>
      <c r="C6" s="734"/>
      <c r="K6" s="23"/>
      <c r="L6" s="23"/>
      <c r="M6" s="23"/>
      <c r="N6" s="23"/>
    </row>
    <row r="7" spans="2:22" ht="9.9499999999999993" customHeight="1" thickBot="1" x14ac:dyDescent="0.45">
      <c r="B7" s="24"/>
      <c r="C7" s="24"/>
      <c r="K7" s="23"/>
      <c r="L7" s="23"/>
      <c r="M7" s="23"/>
      <c r="N7" s="23"/>
      <c r="O7" s="25"/>
      <c r="Q7" s="25"/>
      <c r="R7" s="25"/>
    </row>
    <row r="8" spans="2:22" ht="21.95" customHeight="1" x14ac:dyDescent="0.4">
      <c r="B8" s="735" t="s">
        <v>32</v>
      </c>
      <c r="C8" s="736"/>
      <c r="D8" s="736"/>
      <c r="E8" s="736"/>
      <c r="F8" s="741" t="s">
        <v>33</v>
      </c>
      <c r="G8" s="742"/>
      <c r="H8" s="746">
        <f>IFERROR('A-1 Site Habitat Baseline'!Q259,"Check Data ⚠")</f>
        <v>298.63406999999995</v>
      </c>
      <c r="I8" s="747"/>
      <c r="J8" s="26"/>
      <c r="K8" s="23"/>
      <c r="L8" s="23"/>
      <c r="M8" s="23"/>
      <c r="N8" s="23"/>
      <c r="O8" s="25"/>
      <c r="P8" s="25"/>
      <c r="Q8" s="25"/>
      <c r="R8" s="25"/>
      <c r="S8" s="25"/>
    </row>
    <row r="9" spans="2:22" ht="21.95" customHeight="1" x14ac:dyDescent="0.4">
      <c r="B9" s="737"/>
      <c r="C9" s="738"/>
      <c r="D9" s="738"/>
      <c r="E9" s="738"/>
      <c r="F9" s="748" t="s">
        <v>34</v>
      </c>
      <c r="G9" s="749"/>
      <c r="H9" s="750">
        <f>IFERROR('B-1 Site Hedge Baseline'!N258,"Check Data ⚠")</f>
        <v>26.746699999999997</v>
      </c>
      <c r="I9" s="751"/>
      <c r="K9" s="23"/>
      <c r="L9" s="23"/>
      <c r="M9" s="23"/>
      <c r="N9" s="23"/>
    </row>
    <row r="10" spans="2:22" ht="21.95" customHeight="1" thickBot="1" x14ac:dyDescent="0.45">
      <c r="B10" s="739"/>
      <c r="C10" s="740"/>
      <c r="D10" s="740"/>
      <c r="E10" s="740"/>
      <c r="F10" s="752" t="s">
        <v>35</v>
      </c>
      <c r="G10" s="753"/>
      <c r="H10" s="754">
        <f>'C-1 Site River Baseline'!R258</f>
        <v>0</v>
      </c>
      <c r="I10" s="755"/>
      <c r="K10" s="23"/>
      <c r="L10" s="23"/>
      <c r="M10" s="23"/>
      <c r="N10" s="23"/>
    </row>
    <row r="11" spans="2:22" ht="4.5" customHeight="1" thickBot="1" x14ac:dyDescent="0.45">
      <c r="H11" s="311"/>
      <c r="I11" s="311"/>
      <c r="K11" s="23"/>
      <c r="L11" s="23"/>
      <c r="M11" s="23"/>
      <c r="N11" s="23"/>
    </row>
    <row r="12" spans="2:22" ht="21.95" customHeight="1" x14ac:dyDescent="0.4">
      <c r="B12" s="735" t="s">
        <v>36</v>
      </c>
      <c r="C12" s="736"/>
      <c r="D12" s="736"/>
      <c r="E12" s="758"/>
      <c r="F12" s="741" t="s">
        <v>33</v>
      </c>
      <c r="G12" s="742"/>
      <c r="H12" s="761">
        <f ca="1">IFERROR('A-2 Site Habitat Creation'!Y257+'A-3 Site Habitat Enhancement'!AN258+'A-1 Site Habitat Baseline'!U259,"Check Data ⚠")</f>
        <v>439.9377938942261</v>
      </c>
      <c r="I12" s="762"/>
      <c r="K12" s="23"/>
      <c r="L12" s="23"/>
      <c r="M12" s="23"/>
      <c r="N12" s="23"/>
      <c r="U12" s="734"/>
      <c r="V12" s="734"/>
    </row>
    <row r="13" spans="2:22" ht="21.95" customHeight="1" x14ac:dyDescent="0.4">
      <c r="B13" s="737"/>
      <c r="C13" s="738"/>
      <c r="D13" s="738"/>
      <c r="E13" s="759"/>
      <c r="F13" s="748" t="s">
        <v>34</v>
      </c>
      <c r="G13" s="749"/>
      <c r="H13" s="763">
        <f ca="1">IFERROR('B-2 Site Hedge Creation'!W260+'B-3 Site Hedge Enhancement'!AH258+'B-1 Site Hedge Baseline'!R258,"Check Data⚠")</f>
        <v>55.78199395890401</v>
      </c>
      <c r="I13" s="764"/>
      <c r="K13" s="23"/>
      <c r="L13" s="23"/>
      <c r="M13" s="23"/>
      <c r="N13" s="23"/>
      <c r="U13" s="734"/>
      <c r="V13" s="734"/>
    </row>
    <row r="14" spans="2:22" ht="21.95" customHeight="1" thickBot="1" x14ac:dyDescent="0.45">
      <c r="B14" s="739"/>
      <c r="C14" s="740"/>
      <c r="D14" s="740"/>
      <c r="E14" s="760"/>
      <c r="F14" s="752" t="s">
        <v>35</v>
      </c>
      <c r="G14" s="753"/>
      <c r="H14" s="754">
        <f>IFERROR('C-2 Site River Creation'!Z260 + 'C-3 Site River Enhancement'!AM258+'C-1 Site River Baseline'!V258,"Check Data ⚠")</f>
        <v>0</v>
      </c>
      <c r="I14" s="755"/>
      <c r="K14" s="23"/>
      <c r="L14" s="23"/>
      <c r="M14" s="23"/>
      <c r="N14" s="23"/>
    </row>
    <row r="15" spans="2:22" ht="4.5" customHeight="1" thickBot="1" x14ac:dyDescent="0.45">
      <c r="B15" s="453"/>
      <c r="C15" s="453"/>
      <c r="D15" s="453"/>
      <c r="E15" s="453"/>
      <c r="F15" s="454"/>
      <c r="G15" s="454"/>
      <c r="H15" s="455"/>
      <c r="I15" s="455"/>
      <c r="K15" s="23"/>
      <c r="L15" s="23"/>
      <c r="M15" s="23"/>
      <c r="N15" s="23"/>
    </row>
    <row r="16" spans="2:22" ht="21.95" customHeight="1" x14ac:dyDescent="0.4">
      <c r="B16" s="735" t="s">
        <v>37</v>
      </c>
      <c r="C16" s="736"/>
      <c r="D16" s="736"/>
      <c r="E16" s="758"/>
      <c r="F16" s="741" t="s">
        <v>33</v>
      </c>
      <c r="G16" s="742"/>
      <c r="H16" s="781">
        <f ca="1">IF(H8=0,0,IF(AND(H8=0,H12&gt;0),1,IFERROR((H12/H8)-1,"Check Data ⚠")))</f>
        <v>0.47316678868632156</v>
      </c>
      <c r="I16" s="782"/>
      <c r="J16" s="456"/>
      <c r="K16" s="23"/>
      <c r="L16" s="23"/>
      <c r="M16" s="23"/>
      <c r="N16" s="23"/>
    </row>
    <row r="17" spans="2:14" ht="21.95" customHeight="1" x14ac:dyDescent="0.4">
      <c r="B17" s="737"/>
      <c r="C17" s="738"/>
      <c r="D17" s="738"/>
      <c r="E17" s="759"/>
      <c r="F17" s="748" t="s">
        <v>34</v>
      </c>
      <c r="G17" s="749"/>
      <c r="H17" s="783">
        <f ca="1">IF(H9=0,0,IF(AND(H9=0,H13&gt;0),1,IFERROR((H13/H9)-1,"Check Data ⚠")))</f>
        <v>1.0855654700917876</v>
      </c>
      <c r="I17" s="784"/>
      <c r="K17" s="23"/>
      <c r="L17" s="23"/>
      <c r="M17" s="23"/>
      <c r="N17" s="23"/>
    </row>
    <row r="18" spans="2:14" ht="21.95" customHeight="1" thickBot="1" x14ac:dyDescent="0.45">
      <c r="B18" s="739"/>
      <c r="C18" s="740"/>
      <c r="D18" s="740"/>
      <c r="E18" s="760"/>
      <c r="F18" s="752" t="s">
        <v>35</v>
      </c>
      <c r="G18" s="785"/>
      <c r="H18" s="786">
        <f>IF(H10=0,0,IF(AND(H10=0,H14&gt;0),1,IFERROR((H14/H10)-1,"Check Data ⚠")))</f>
        <v>0</v>
      </c>
      <c r="I18" s="787"/>
      <c r="K18" s="23"/>
      <c r="L18" s="23"/>
      <c r="M18" s="23"/>
      <c r="N18" s="23"/>
    </row>
    <row r="19" spans="2:14" ht="24.95" customHeight="1" thickBot="1" x14ac:dyDescent="0.45">
      <c r="H19" s="311"/>
      <c r="I19" s="311"/>
      <c r="K19" s="23"/>
      <c r="L19" s="23"/>
      <c r="M19" s="23"/>
      <c r="N19" s="23"/>
    </row>
    <row r="20" spans="2:14" ht="21.95" customHeight="1" x14ac:dyDescent="0.4">
      <c r="B20" s="735" t="s">
        <v>38</v>
      </c>
      <c r="C20" s="736"/>
      <c r="D20" s="736"/>
      <c r="E20" s="736"/>
      <c r="F20" s="741" t="s">
        <v>33</v>
      </c>
      <c r="G20" s="742"/>
      <c r="H20" s="765">
        <f>IFERROR('D-1 Off Site Habitat Baseline'!Q259,"Check Data ⚠")</f>
        <v>0</v>
      </c>
      <c r="I20" s="766"/>
      <c r="K20" s="23"/>
      <c r="L20" s="23"/>
      <c r="M20" s="23"/>
      <c r="N20" s="23"/>
    </row>
    <row r="21" spans="2:14" ht="21.95" customHeight="1" x14ac:dyDescent="0.4">
      <c r="B21" s="737"/>
      <c r="C21" s="738"/>
      <c r="D21" s="738"/>
      <c r="E21" s="738"/>
      <c r="F21" s="748" t="s">
        <v>34</v>
      </c>
      <c r="G21" s="749"/>
      <c r="H21" s="767">
        <f>IFERROR('E-1 Off Site Hedge Baseline'!N258,"Check Data ⚠")</f>
        <v>0</v>
      </c>
      <c r="I21" s="768"/>
      <c r="K21" s="23"/>
      <c r="L21" s="23"/>
      <c r="M21" s="23"/>
      <c r="N21" s="23"/>
    </row>
    <row r="22" spans="2:14" ht="21.95" customHeight="1" thickBot="1" x14ac:dyDescent="0.45">
      <c r="B22" s="739"/>
      <c r="C22" s="740"/>
      <c r="D22" s="740"/>
      <c r="E22" s="740"/>
      <c r="F22" s="752" t="s">
        <v>35</v>
      </c>
      <c r="G22" s="753"/>
      <c r="H22" s="756">
        <f>IFERROR('F-1 Off Site River Baseline'!R258,"Check Data ⚠")</f>
        <v>0</v>
      </c>
      <c r="I22" s="757"/>
      <c r="K22" s="23"/>
      <c r="L22" s="23"/>
      <c r="M22" s="23"/>
      <c r="N22" s="23"/>
    </row>
    <row r="23" spans="2:14" ht="4.5" customHeight="1" thickBot="1" x14ac:dyDescent="0.45">
      <c r="H23" s="311"/>
      <c r="I23" s="311"/>
      <c r="K23" s="23"/>
      <c r="L23" s="23"/>
      <c r="M23" s="23"/>
      <c r="N23" s="23"/>
    </row>
    <row r="24" spans="2:14" ht="21.95" customHeight="1" x14ac:dyDescent="0.4">
      <c r="B24" s="735" t="s">
        <v>39</v>
      </c>
      <c r="C24" s="736"/>
      <c r="D24" s="736"/>
      <c r="E24" s="758"/>
      <c r="F24" s="741" t="s">
        <v>33</v>
      </c>
      <c r="G24" s="742"/>
      <c r="H24" s="761">
        <f>IFERROR('D-1 Off Site Habitat Baseline'!$U$259+'D-2 Off Site Habitat Creation'!AA257+'D-3 Off Site Habitat Enhancment'!AP259,"Check Data ⚠")</f>
        <v>0</v>
      </c>
      <c r="I24" s="762"/>
      <c r="K24" s="23"/>
      <c r="L24" s="23"/>
      <c r="M24" s="23"/>
      <c r="N24" s="23"/>
    </row>
    <row r="25" spans="2:14" ht="21.95" customHeight="1" x14ac:dyDescent="0.4">
      <c r="B25" s="737"/>
      <c r="C25" s="738"/>
      <c r="D25" s="738"/>
      <c r="E25" s="759"/>
      <c r="F25" s="748" t="s">
        <v>34</v>
      </c>
      <c r="G25" s="749"/>
      <c r="H25" s="769">
        <f>IFERROR('E-1 Off Site Hedge Baseline'!R258+'E-2 Off Site Hedge Creation'!Y260+'E-3 Off Site Hedge Enhancement'!AJ258,"Check Data ⚠")</f>
        <v>0</v>
      </c>
      <c r="I25" s="764"/>
      <c r="K25" s="23"/>
      <c r="L25" s="23"/>
      <c r="M25" s="23"/>
      <c r="N25" s="23"/>
    </row>
    <row r="26" spans="2:14" ht="21.95" customHeight="1" thickBot="1" x14ac:dyDescent="0.45">
      <c r="B26" s="739"/>
      <c r="C26" s="740"/>
      <c r="D26" s="740"/>
      <c r="E26" s="760"/>
      <c r="F26" s="752" t="s">
        <v>35</v>
      </c>
      <c r="G26" s="753"/>
      <c r="H26" s="754">
        <f>IFERROR('F-1 Off Site River Baseline'!V258+'F-2 Off Site River Creation'!AB260+'F-3 Off Site River Enhancement'!AO258,"Check Data ⚠")</f>
        <v>0</v>
      </c>
      <c r="I26" s="755"/>
      <c r="K26" s="23"/>
      <c r="L26" s="23"/>
      <c r="M26" s="23"/>
      <c r="N26" s="23"/>
    </row>
    <row r="27" spans="2:14" ht="24.95" customHeight="1" thickBot="1" x14ac:dyDescent="0.45">
      <c r="H27" s="311"/>
      <c r="I27" s="311"/>
      <c r="K27" s="23"/>
      <c r="L27" s="23"/>
      <c r="M27" s="23"/>
      <c r="N27" s="23"/>
    </row>
    <row r="28" spans="2:14" ht="21.95" customHeight="1" x14ac:dyDescent="0.4">
      <c r="B28" s="735" t="s">
        <v>40</v>
      </c>
      <c r="C28" s="736"/>
      <c r="D28" s="736"/>
      <c r="E28" s="758"/>
      <c r="F28" s="741" t="s">
        <v>33</v>
      </c>
      <c r="G28" s="742"/>
      <c r="H28" s="761">
        <f ca="1">IFERROR((H12-H8)+((H24-H20)),"Check Data ⚠")</f>
        <v>141.30372389422615</v>
      </c>
      <c r="I28" s="762"/>
      <c r="J28" s="776"/>
      <c r="K28" s="777"/>
      <c r="L28" s="23"/>
      <c r="M28" s="23"/>
      <c r="N28" s="23"/>
    </row>
    <row r="29" spans="2:14" ht="21.95" customHeight="1" x14ac:dyDescent="0.4">
      <c r="B29" s="737"/>
      <c r="C29" s="738"/>
      <c r="D29" s="738"/>
      <c r="E29" s="759"/>
      <c r="F29" s="748" t="s">
        <v>34</v>
      </c>
      <c r="G29" s="749"/>
      <c r="H29" s="769">
        <f ca="1">IFERROR((H13-H9)+((H25-H21)),"Check Data ⚠")</f>
        <v>29.035293958904013</v>
      </c>
      <c r="I29" s="764"/>
      <c r="J29" s="776"/>
      <c r="K29" s="777"/>
      <c r="L29" s="23"/>
      <c r="M29" s="23"/>
      <c r="N29" s="23"/>
    </row>
    <row r="30" spans="2:14" ht="21.95" customHeight="1" thickBot="1" x14ac:dyDescent="0.45">
      <c r="B30" s="739"/>
      <c r="C30" s="740"/>
      <c r="D30" s="740"/>
      <c r="E30" s="760"/>
      <c r="F30" s="752" t="s">
        <v>35</v>
      </c>
      <c r="G30" s="753"/>
      <c r="H30" s="754">
        <f>IFERROR((H14-H10)+((H26-H22)),"Check Data ⚠")</f>
        <v>0</v>
      </c>
      <c r="I30" s="755"/>
      <c r="J30" s="776"/>
      <c r="K30" s="777"/>
      <c r="L30" s="23"/>
      <c r="M30" s="23"/>
      <c r="N30" s="23"/>
    </row>
    <row r="31" spans="2:14" ht="4.5" customHeight="1" thickBot="1" x14ac:dyDescent="0.45">
      <c r="H31" s="312"/>
      <c r="I31" s="312"/>
      <c r="K31" s="23"/>
      <c r="L31" s="23"/>
      <c r="M31" s="23"/>
      <c r="N31" s="23"/>
    </row>
    <row r="32" spans="2:14" ht="21.95" customHeight="1" x14ac:dyDescent="0.4">
      <c r="B32" s="735" t="s">
        <v>41</v>
      </c>
      <c r="C32" s="736"/>
      <c r="D32" s="736"/>
      <c r="E32" s="758"/>
      <c r="F32" s="741" t="s">
        <v>33</v>
      </c>
      <c r="G32" s="742"/>
      <c r="H32" s="781">
        <f ca="1">IF(H28=0,0,IF(AND(H8=0,H20=0,H28&gt;0),1,IFERROR((H28/H8),"Check Data ⚠")))</f>
        <v>0.47316678868632162</v>
      </c>
      <c r="I32" s="782"/>
      <c r="J32" s="776"/>
      <c r="K32" s="777"/>
      <c r="L32" s="23"/>
      <c r="M32" s="23"/>
      <c r="N32" s="23"/>
    </row>
    <row r="33" spans="1:33" ht="21.95" customHeight="1" x14ac:dyDescent="0.4">
      <c r="A33" s="27"/>
      <c r="B33" s="737"/>
      <c r="C33" s="738"/>
      <c r="D33" s="738"/>
      <c r="E33" s="759"/>
      <c r="F33" s="748" t="s">
        <v>34</v>
      </c>
      <c r="G33" s="749"/>
      <c r="H33" s="783">
        <f ca="1">IF(H29=0,0,IF(AND(H9=0,H21=0,H29&gt;0),1,IFERROR((H29/H9),"Check Data ⚠")))</f>
        <v>1.0855654700917876</v>
      </c>
      <c r="I33" s="784"/>
      <c r="J33" s="776"/>
      <c r="K33" s="777"/>
      <c r="L33" s="23"/>
      <c r="M33" s="23"/>
      <c r="N33" s="23"/>
    </row>
    <row r="34" spans="1:33" ht="21.95" customHeight="1" thickBot="1" x14ac:dyDescent="0.45">
      <c r="A34" s="27"/>
      <c r="B34" s="739"/>
      <c r="C34" s="740"/>
      <c r="D34" s="740"/>
      <c r="E34" s="760"/>
      <c r="F34" s="752" t="s">
        <v>35</v>
      </c>
      <c r="G34" s="785"/>
      <c r="H34" s="786">
        <f>IF(H30=0,0,IF(AND(H10=0,H22=0,H30&gt;0),1,IFERROR((H30/H10),"Check Data ⚠")))</f>
        <v>0</v>
      </c>
      <c r="I34" s="787"/>
      <c r="J34" s="778"/>
      <c r="K34" s="779"/>
      <c r="L34" s="23"/>
      <c r="M34" s="23"/>
      <c r="N34" s="23"/>
    </row>
    <row r="35" spans="1:33" ht="24.95" customHeight="1" thickBot="1" x14ac:dyDescent="0.45">
      <c r="B35" s="780"/>
      <c r="C35" s="780"/>
      <c r="D35" s="780"/>
      <c r="F35" s="28"/>
      <c r="G35" s="28"/>
      <c r="H35" s="28"/>
      <c r="I35" s="28"/>
      <c r="J35" s="28"/>
      <c r="K35" s="28"/>
      <c r="L35" s="28"/>
      <c r="M35" s="28"/>
    </row>
    <row r="36" spans="1:33" s="29" customFormat="1" ht="38.25" customHeight="1" thickBot="1" x14ac:dyDescent="0.25">
      <c r="B36" s="770" t="s">
        <v>42</v>
      </c>
      <c r="C36" s="771"/>
      <c r="D36" s="771"/>
      <c r="E36" s="772"/>
      <c r="F36" s="773" t="str">
        <f ca="1">IF(OR('Trading Summary'!G5="No ▲",'Trading Summary'!G6="No ▲",'Trading Summary'!G7="No ▲",'Trading Summary'!G8="No ▲"),"No - Check Trading Summary ▲","Yes ✓")</f>
        <v>No - Check Trading Summary ▲</v>
      </c>
      <c r="G36" s="774"/>
      <c r="H36" s="774"/>
      <c r="I36" s="775"/>
      <c r="J36" s="30"/>
      <c r="K36" s="30"/>
      <c r="L36" s="30"/>
      <c r="M36" s="30"/>
      <c r="N36" s="22"/>
      <c r="O36" s="22"/>
      <c r="P36" s="22"/>
      <c r="Q36" s="22"/>
      <c r="X36" s="22"/>
      <c r="Y36" s="22"/>
      <c r="Z36" s="22"/>
      <c r="AA36" s="22"/>
      <c r="AB36" s="22"/>
      <c r="AC36" s="22"/>
      <c r="AD36" s="22"/>
      <c r="AE36" s="22"/>
      <c r="AF36" s="22"/>
      <c r="AG36" s="22"/>
    </row>
    <row r="37" spans="1:33" ht="15.75" x14ac:dyDescent="0.2">
      <c r="B37" s="30"/>
      <c r="C37" s="30"/>
      <c r="D37" s="30"/>
      <c r="E37" s="30"/>
      <c r="F37" s="30"/>
      <c r="G37" s="30"/>
      <c r="H37" s="30"/>
      <c r="I37" s="30"/>
      <c r="J37" s="30"/>
      <c r="K37" s="30"/>
      <c r="L37" s="30"/>
      <c r="M37" s="30"/>
      <c r="X37" s="29"/>
      <c r="Y37" s="29"/>
      <c r="Z37" s="29"/>
      <c r="AA37" s="29"/>
      <c r="AB37" s="29"/>
    </row>
    <row r="38" spans="1:33" ht="15.75" x14ac:dyDescent="0.2">
      <c r="B38" s="30"/>
      <c r="C38" s="30"/>
      <c r="D38" s="30"/>
      <c r="E38" s="30"/>
      <c r="F38" s="30"/>
      <c r="G38" s="30"/>
      <c r="H38" s="30"/>
      <c r="I38" s="30"/>
      <c r="J38" s="30"/>
      <c r="K38" s="30"/>
      <c r="L38" s="30"/>
      <c r="M38" s="30"/>
      <c r="X38" s="29"/>
      <c r="Y38" s="29"/>
      <c r="Z38" s="29"/>
      <c r="AA38" s="29"/>
      <c r="AB38" s="29"/>
    </row>
    <row r="39" spans="1:33" ht="15.75" hidden="1" x14ac:dyDescent="0.2">
      <c r="B39" s="30"/>
      <c r="C39" s="30"/>
      <c r="D39" s="30"/>
      <c r="E39" s="30"/>
      <c r="F39" s="30"/>
      <c r="G39" s="30"/>
      <c r="H39" s="30"/>
      <c r="I39" s="30"/>
      <c r="J39" s="30"/>
      <c r="K39" s="30"/>
      <c r="L39" s="30"/>
      <c r="M39" s="30"/>
      <c r="X39" s="29"/>
      <c r="Y39" s="29"/>
      <c r="Z39" s="29"/>
      <c r="AA39" s="29"/>
      <c r="AB39" s="29"/>
    </row>
    <row r="40" spans="1:33" ht="15.75" hidden="1" customHeight="1" x14ac:dyDescent="0.2"/>
    <row r="46" spans="1:33" ht="15.75" hidden="1" customHeight="1" x14ac:dyDescent="0.2"/>
    <row r="47" spans="1:33" ht="15.75" hidden="1" customHeight="1" x14ac:dyDescent="0.2"/>
    <row r="48" spans="1:3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90" ht="21.6" hidden="1" customHeight="1" x14ac:dyDescent="0.2"/>
    <row r="103" ht="64.900000000000006" hidden="1" customHeight="1" x14ac:dyDescent="0.2"/>
    <row r="106" ht="29.45" hidden="1" customHeight="1" x14ac:dyDescent="0.2"/>
    <row r="109" x14ac:dyDescent="0.2"/>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4" zoomScale="90" zoomScaleNormal="90" workbookViewId="0">
      <selection activeCell="F46" sqref="F46"/>
    </sheetView>
  </sheetViews>
  <sheetFormatPr defaultColWidth="8.85546875" defaultRowHeight="14.25" x14ac:dyDescent="0.2"/>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x14ac:dyDescent="0.25"/>
    <row r="2" spans="2:19" ht="22.15" customHeight="1" thickBot="1" x14ac:dyDescent="0.25">
      <c r="B2" s="832" t="str">
        <f>IF(Start!$F$12="","",Start!$F$12)</f>
        <v>Tyting Farm Mitigation Bank</v>
      </c>
      <c r="C2" s="833"/>
      <c r="D2" s="834"/>
    </row>
    <row r="3" spans="2:19" ht="19.899999999999999" customHeight="1" x14ac:dyDescent="0.2">
      <c r="B3" s="728" t="str">
        <f ca="1">MID(CELL("filename",A1),FIND("]",CELL("filename",A1))+1,256)</f>
        <v>Detailed Results</v>
      </c>
      <c r="C3" s="729"/>
      <c r="D3" s="730"/>
    </row>
    <row r="4" spans="2:19" ht="21.6" customHeight="1" thickBot="1" x14ac:dyDescent="0.25">
      <c r="B4" s="731"/>
      <c r="C4" s="732"/>
      <c r="D4" s="733"/>
    </row>
    <row r="5" spans="2:19" ht="15.75" customHeight="1" x14ac:dyDescent="0.2"/>
    <row r="6" spans="2:19" ht="25.5" customHeight="1" thickBot="1" x14ac:dyDescent="0.25"/>
    <row r="7" spans="2:19" ht="18.75" customHeight="1" x14ac:dyDescent="0.2">
      <c r="B7" s="839" t="s">
        <v>43</v>
      </c>
      <c r="C7" s="840"/>
    </row>
    <row r="8" spans="2:19" ht="20.25" customHeight="1" thickBot="1" x14ac:dyDescent="0.25">
      <c r="B8" s="841"/>
      <c r="C8" s="842"/>
    </row>
    <row r="9" spans="2:19" ht="15.75" customHeight="1" thickBot="1" x14ac:dyDescent="0.45">
      <c r="B9" s="32"/>
      <c r="C9" s="32"/>
      <c r="O9" s="33"/>
      <c r="Q9" s="33"/>
      <c r="R9" s="33"/>
    </row>
    <row r="10" spans="2:19" ht="18" customHeight="1" x14ac:dyDescent="0.25">
      <c r="B10" s="735" t="s">
        <v>44</v>
      </c>
      <c r="C10" s="736"/>
      <c r="D10" s="736"/>
      <c r="E10" s="758"/>
      <c r="F10" s="845" t="s">
        <v>33</v>
      </c>
      <c r="G10" s="846"/>
      <c r="H10" s="843">
        <f ca="1">IFERROR('Headline Results'!$H$28:$I$28,"Check Data ⚠")</f>
        <v>141.30372389422615</v>
      </c>
      <c r="I10" s="844"/>
      <c r="J10" s="34"/>
      <c r="O10" s="33"/>
      <c r="P10" s="33"/>
      <c r="Q10" s="33"/>
      <c r="R10" s="33"/>
      <c r="S10" s="33"/>
    </row>
    <row r="11" spans="2:19" ht="15.75" customHeight="1" x14ac:dyDescent="0.25">
      <c r="B11" s="737"/>
      <c r="C11" s="738"/>
      <c r="D11" s="738"/>
      <c r="E11" s="759"/>
      <c r="F11" s="849" t="s">
        <v>34</v>
      </c>
      <c r="G11" s="856"/>
      <c r="H11" s="854">
        <f ca="1">IFERROR('Headline Results'!$H$29:$I$29,"Check Data ⚠")</f>
        <v>29.035293958904013</v>
      </c>
      <c r="I11" s="855"/>
    </row>
    <row r="12" spans="2:19" ht="18.600000000000001" customHeight="1" thickBot="1" x14ac:dyDescent="0.3">
      <c r="B12" s="739"/>
      <c r="C12" s="740"/>
      <c r="D12" s="740"/>
      <c r="E12" s="760"/>
      <c r="F12" s="835" t="s">
        <v>35</v>
      </c>
      <c r="G12" s="836"/>
      <c r="H12" s="837">
        <f>IFERROR('Headline Results'!$H$30:$I$30,"Check Data ⚠")</f>
        <v>0</v>
      </c>
      <c r="I12" s="838"/>
    </row>
    <row r="13" spans="2:19" ht="15.75" customHeight="1" thickBot="1" x14ac:dyDescent="0.25"/>
    <row r="14" spans="2:19" ht="18.75" customHeight="1" x14ac:dyDescent="0.2">
      <c r="B14" s="735" t="s">
        <v>45</v>
      </c>
      <c r="C14" s="736"/>
      <c r="D14" s="736"/>
      <c r="E14" s="758"/>
      <c r="F14" s="845" t="s">
        <v>33</v>
      </c>
      <c r="G14" s="853"/>
      <c r="H14" s="851">
        <f ca="1">IFERROR('Headline Results'!$H$32:$I$32,"Check Data ⚠")</f>
        <v>0.47316678868632162</v>
      </c>
      <c r="I14" s="852"/>
    </row>
    <row r="15" spans="2:19" ht="18.75" customHeight="1" x14ac:dyDescent="0.2">
      <c r="B15" s="737"/>
      <c r="C15" s="738"/>
      <c r="D15" s="738"/>
      <c r="E15" s="759"/>
      <c r="F15" s="849" t="s">
        <v>34</v>
      </c>
      <c r="G15" s="850"/>
      <c r="H15" s="847">
        <f ca="1">IFERROR('Headline Results'!$H$33:$I$33,"Check Data ⚠")</f>
        <v>1.0855654700917876</v>
      </c>
      <c r="I15" s="848"/>
    </row>
    <row r="16" spans="2:19" ht="18.75" customHeight="1" thickBot="1" x14ac:dyDescent="0.25">
      <c r="B16" s="739"/>
      <c r="C16" s="740"/>
      <c r="D16" s="740"/>
      <c r="E16" s="760"/>
      <c r="F16" s="835" t="s">
        <v>35</v>
      </c>
      <c r="G16" s="859"/>
      <c r="H16" s="857">
        <f>IFERROR('Headline Results'!$H$34:$I$34,"Check Data ⚠")</f>
        <v>0</v>
      </c>
      <c r="I16" s="858"/>
    </row>
    <row r="17" spans="2:9" ht="18.75" customHeight="1" thickBot="1" x14ac:dyDescent="0.25"/>
    <row r="18" spans="2:9" ht="25.5" customHeight="1" x14ac:dyDescent="0.2">
      <c r="B18" s="860" t="s">
        <v>46</v>
      </c>
      <c r="C18" s="860"/>
      <c r="D18" s="860"/>
      <c r="E18" s="860"/>
      <c r="F18" s="860"/>
      <c r="G18" s="860"/>
      <c r="H18" s="860"/>
      <c r="I18" s="860"/>
    </row>
    <row r="19" spans="2:9" ht="22.5" customHeight="1" thickBot="1" x14ac:dyDescent="0.25">
      <c r="B19" s="861"/>
      <c r="C19" s="861"/>
      <c r="D19" s="861"/>
      <c r="E19" s="861"/>
      <c r="F19" s="861"/>
      <c r="G19" s="861"/>
      <c r="H19" s="861"/>
      <c r="I19" s="861"/>
    </row>
    <row r="20" spans="2:9" ht="18.75" customHeight="1" thickBot="1" x14ac:dyDescent="0.45">
      <c r="B20" s="828"/>
      <c r="C20" s="828"/>
      <c r="D20" s="831" t="s">
        <v>47</v>
      </c>
      <c r="E20" s="831"/>
      <c r="F20" s="831" t="s">
        <v>48</v>
      </c>
      <c r="G20" s="831"/>
      <c r="H20" s="831" t="s">
        <v>49</v>
      </c>
      <c r="I20" s="831"/>
    </row>
    <row r="21" spans="2:9" ht="18.75" customHeight="1" x14ac:dyDescent="0.2">
      <c r="B21" s="789" t="s">
        <v>50</v>
      </c>
      <c r="C21" s="790"/>
      <c r="D21" s="829">
        <f>IF(AND($K$40=0,'A-1 Site Habitat Baseline'!Y11:Y258&lt;&gt;"No",'D-1 Off Site Habitat Baseline'!Y11:Y258&lt;&gt;"No"),'A-1 Site Habitat Baseline'!$H259+'D-1 Off Site Habitat Baseline'!H259,"Error ▲")</f>
        <v>45.919400000000003</v>
      </c>
      <c r="E21" s="829"/>
      <c r="F21" s="821">
        <f>'B-1 Site Hedge Baseline'!$E$258+'E-1 Off Site Hedge Baseline'!$E$258</f>
        <v>5.32</v>
      </c>
      <c r="G21" s="821"/>
      <c r="H21" s="821">
        <f>'C-1 Site River Baseline'!$E$258+'F-1 Off Site River Baseline'!$E$258</f>
        <v>0</v>
      </c>
      <c r="I21" s="822"/>
    </row>
    <row r="22" spans="2:9" ht="18.75" customHeight="1" thickBot="1" x14ac:dyDescent="0.25">
      <c r="B22" s="791" t="s">
        <v>51</v>
      </c>
      <c r="C22" s="792"/>
      <c r="D22" s="830">
        <f>IF(AND($K$40=0,'A-1 Site Habitat Baseline'!Y11:Y258&lt;&gt;"No",'D-1 Off Site Habitat Baseline'!Y11:Y258&lt;&gt;"No"),'A-1 Site Habitat Baseline'!$Q259+'D-1 Off Site Habitat Baseline'!Q259,"Error ▲")</f>
        <v>298.63406999999995</v>
      </c>
      <c r="E22" s="830"/>
      <c r="F22" s="823">
        <f>'B-1 Site Hedge Baseline'!$N$258+'E-1 Off Site Hedge Baseline'!$N$258</f>
        <v>26.746699999999997</v>
      </c>
      <c r="G22" s="823"/>
      <c r="H22" s="823">
        <f>'C-1 Site River Baseline'!$R$258+'F-1 Off Site River Baseline'!$R$258</f>
        <v>0</v>
      </c>
      <c r="I22" s="824"/>
    </row>
    <row r="23" spans="2:9" ht="18.75" customHeight="1" thickBot="1" x14ac:dyDescent="0.25">
      <c r="D23" s="34"/>
      <c r="F23" s="34"/>
      <c r="H23" s="34"/>
    </row>
    <row r="24" spans="2:9" ht="18.75" customHeight="1" x14ac:dyDescent="0.2">
      <c r="B24" s="789" t="s">
        <v>52</v>
      </c>
      <c r="C24" s="790"/>
      <c r="D24" s="829">
        <f>IF(AND($K$40=0,'A-1 Site Habitat Baseline'!Y11:Y258&lt;&gt;"No",'D-1 Off Site Habitat Baseline'!Y11:Y258&lt;&gt;"No"),'A-1 Site Habitat Baseline'!$S259+'D-1 Off Site Habitat Baseline'!S259,"Error ▲")</f>
        <v>3.6708000000000003</v>
      </c>
      <c r="E24" s="829"/>
      <c r="F24" s="821">
        <f>'B-1 Site Hedge Baseline'!$P$258+'E-1 Off Site Hedge Baseline'!$P$258</f>
        <v>1.0110000000000001</v>
      </c>
      <c r="G24" s="821"/>
      <c r="H24" s="821">
        <f>'C-1 Site River Baseline'!T258+'F-1 Off Site River Baseline'!T258</f>
        <v>0</v>
      </c>
      <c r="I24" s="822"/>
    </row>
    <row r="25" spans="2:9" ht="18.75" customHeight="1" thickBot="1" x14ac:dyDescent="0.25">
      <c r="B25" s="791" t="s">
        <v>53</v>
      </c>
      <c r="C25" s="792"/>
      <c r="D25" s="830">
        <f>IF(AND($K$40=0,'A-1 Site Habitat Baseline'!Y11:Y258&lt;&gt;"No",'D-1 Off Site Habitat Baseline'!Y11:Y258&lt;&gt;"No"),'A-1 Site Habitat Baseline'!$U259+'D-1 Off Site Habitat Baseline'!U259,"Error ▲")</f>
        <v>60.201809999999988</v>
      </c>
      <c r="E25" s="830"/>
      <c r="F25" s="823">
        <f>'B-1 Site Hedge Baseline'!R258+'E-1 Off Site Hedge Baseline'!R258</f>
        <v>10.384499999999999</v>
      </c>
      <c r="G25" s="823"/>
      <c r="H25" s="823">
        <f>'C-1 Site River Baseline'!V258+'F-1 Off Site River Baseline'!V258</f>
        <v>0</v>
      </c>
      <c r="I25" s="824"/>
    </row>
    <row r="26" spans="2:9" ht="18.75" customHeight="1" thickBot="1" x14ac:dyDescent="0.25">
      <c r="D26" s="34"/>
      <c r="F26" s="34"/>
      <c r="H26" s="34"/>
    </row>
    <row r="27" spans="2:9" ht="18.75" customHeight="1" x14ac:dyDescent="0.2">
      <c r="B27" s="789" t="s">
        <v>54</v>
      </c>
      <c r="C27" s="790"/>
      <c r="D27" s="829">
        <f>IF(AND($K$40=0,'A-1 Site Habitat Baseline'!Y11:Y258&lt;&gt;"No",'D-1 Off Site Habitat Baseline'!Y11:Y258&lt;&gt;"No"),'A-1 Site Habitat Baseline'!$T259+'D-1 Off Site Habitat Baseline'!T259,"Error ▲")</f>
        <v>41.501799999999996</v>
      </c>
      <c r="E27" s="829"/>
      <c r="F27" s="821">
        <f>'B-1 Site Hedge Baseline'!$Q$258+'E-1 Off Site Hedge Baseline'!$Q$258</f>
        <v>3.7309999999999999</v>
      </c>
      <c r="G27" s="821"/>
      <c r="H27" s="821">
        <f>'C-1 Site River Baseline'!U258+'F-1 Off Site River Baseline'!U258</f>
        <v>0</v>
      </c>
      <c r="I27" s="822"/>
    </row>
    <row r="28" spans="2:9" ht="18.75" customHeight="1" thickBot="1" x14ac:dyDescent="0.25">
      <c r="B28" s="791" t="s">
        <v>55</v>
      </c>
      <c r="C28" s="792"/>
      <c r="D28" s="830">
        <f>IF(AND($K$40=0,'A-1 Site Habitat Baseline'!Y11:Y258&lt;&gt;"No",'D-1 Off Site Habitat Baseline'!Y11:Y258&lt;&gt;"No"),'A-1 Site Habitat Baseline'!$V259+'D-1 Off Site Habitat Baseline'!V259,"Error ▲")</f>
        <v>235.55449999999996</v>
      </c>
      <c r="E28" s="830"/>
      <c r="F28" s="823">
        <f>'B-1 Site Hedge Baseline'!$S$258+'E-1 Off Site Hedge Baseline'!$S$258</f>
        <v>14.6211</v>
      </c>
      <c r="G28" s="823"/>
      <c r="H28" s="823">
        <f>'C-1 Site River Baseline'!W258+'F-1 Off Site River Baseline'!W258</f>
        <v>0</v>
      </c>
      <c r="I28" s="824"/>
    </row>
    <row r="29" spans="2:9" ht="18.75" customHeight="1" thickBot="1" x14ac:dyDescent="0.25">
      <c r="D29" s="34"/>
      <c r="F29" s="34"/>
      <c r="H29" s="34"/>
    </row>
    <row r="30" spans="2:9" ht="18.75" customHeight="1" x14ac:dyDescent="0.2">
      <c r="B30" s="789" t="s">
        <v>56</v>
      </c>
      <c r="C30" s="790"/>
      <c r="D30" s="829">
        <f>IF(AND($K$40=0,'A-1 Site Habitat Baseline'!Y11:Y258&lt;&gt;"No",'D-1 Off Site Habitat Baseline'!Y11:Y258&lt;&gt;"No"),'A-1 Site Habitat Baseline'!$W259+'D-1 Off Site Habitat Baseline'!W259,"Error ▲")</f>
        <v>0.74680000000000002</v>
      </c>
      <c r="E30" s="829"/>
      <c r="F30" s="821">
        <f>'B-1 Site Hedge Baseline'!$T$258+'E-1 Off Site Hedge Baseline'!$T$258</f>
        <v>0.57800000000000007</v>
      </c>
      <c r="G30" s="821"/>
      <c r="H30" s="821">
        <f>'C-1 Site River Baseline'!X258+'F-1 Off Site River Baseline'!X258</f>
        <v>0</v>
      </c>
      <c r="I30" s="822"/>
    </row>
    <row r="31" spans="2:9" ht="18.75" customHeight="1" thickBot="1" x14ac:dyDescent="0.25">
      <c r="B31" s="791" t="s">
        <v>57</v>
      </c>
      <c r="C31" s="792"/>
      <c r="D31" s="830">
        <f>IF(AND($K$40=0,'A-1 Site Habitat Baseline'!Y11:Y258&lt;&gt;"No",'D-1 Off Site Habitat Baseline'!Y11:Y258&lt;&gt;"No"),'A-1 Site Habitat Baseline'!$X259+'D-1 Off Site Habitat Baseline'!X259,"Error ▲")</f>
        <v>2.8777599999999999</v>
      </c>
      <c r="E31" s="830"/>
      <c r="F31" s="823">
        <f>'B-1 Site Hedge Baseline'!$U$258+'E-1 Off Site Hedge Baseline'!$U$258</f>
        <v>1.7410999999999999</v>
      </c>
      <c r="G31" s="823"/>
      <c r="H31" s="823">
        <f>'C-1 Site River Baseline'!Y258+'F-1 Off Site River Baseline'!Y258</f>
        <v>0</v>
      </c>
      <c r="I31" s="824"/>
    </row>
    <row r="32" spans="2:9" ht="25.9" customHeight="1" thickBot="1" x14ac:dyDescent="0.25">
      <c r="C32" s="34"/>
      <c r="D32" s="34"/>
      <c r="E32" s="34"/>
    </row>
    <row r="33" spans="1:22" s="333" customFormat="1" ht="43.9" customHeight="1" thickTop="1" thickBot="1" x14ac:dyDescent="0.25">
      <c r="A33" s="793" t="s">
        <v>58</v>
      </c>
      <c r="C33" s="334"/>
      <c r="D33" s="334"/>
      <c r="E33" s="334"/>
    </row>
    <row r="34" spans="1:22" ht="26.25" thickBot="1" x14ac:dyDescent="0.4">
      <c r="A34" s="794"/>
      <c r="B34" s="463" t="s">
        <v>59</v>
      </c>
    </row>
    <row r="35" spans="1:22" ht="18.75" customHeight="1" thickBot="1" x14ac:dyDescent="0.25">
      <c r="A35" s="794"/>
    </row>
    <row r="36" spans="1:22" ht="22.15" customHeight="1" thickBot="1" x14ac:dyDescent="0.3">
      <c r="A36" s="794"/>
      <c r="B36" s="805" t="s">
        <v>60</v>
      </c>
      <c r="C36" s="805"/>
      <c r="D36" s="805"/>
      <c r="E36" s="805"/>
      <c r="F36" s="805"/>
      <c r="G36" s="805"/>
      <c r="H36" s="805"/>
      <c r="J36" s="809" t="s">
        <v>61</v>
      </c>
      <c r="K36" s="810"/>
      <c r="L36" s="811"/>
    </row>
    <row r="37" spans="1:22" ht="34.15" customHeight="1" thickBot="1" x14ac:dyDescent="0.25">
      <c r="A37" s="794"/>
      <c r="B37" s="35"/>
      <c r="C37" s="788" t="s">
        <v>62</v>
      </c>
      <c r="D37" s="788"/>
      <c r="E37" s="788" t="s">
        <v>63</v>
      </c>
      <c r="F37" s="788"/>
      <c r="G37" s="788" t="s">
        <v>64</v>
      </c>
      <c r="H37" s="788"/>
      <c r="J37" s="812"/>
      <c r="K37" s="813"/>
      <c r="L37" s="814"/>
      <c r="U37" s="862"/>
      <c r="V37" s="862"/>
    </row>
    <row r="38" spans="1:22" ht="52.9" customHeight="1" thickBot="1" x14ac:dyDescent="0.25">
      <c r="A38" s="794"/>
      <c r="B38" s="323" t="s">
        <v>65</v>
      </c>
      <c r="C38" s="35" t="s">
        <v>66</v>
      </c>
      <c r="D38" s="35" t="s">
        <v>67</v>
      </c>
      <c r="E38" s="35" t="s">
        <v>68</v>
      </c>
      <c r="F38" s="35" t="s">
        <v>69</v>
      </c>
      <c r="G38" s="35" t="s">
        <v>70</v>
      </c>
      <c r="H38" s="35" t="s">
        <v>71</v>
      </c>
      <c r="J38" s="815" t="s">
        <v>72</v>
      </c>
      <c r="K38" s="817" t="s">
        <v>73</v>
      </c>
      <c r="L38" s="819" t="s">
        <v>74</v>
      </c>
      <c r="U38" s="862"/>
      <c r="V38" s="862"/>
    </row>
    <row r="39" spans="1:22" ht="15.75" x14ac:dyDescent="0.2">
      <c r="A39" s="794"/>
      <c r="B39" s="43" t="s">
        <v>75</v>
      </c>
      <c r="C39" s="464">
        <f>'G-2 Habitat groups'!$AK$4</f>
        <v>0</v>
      </c>
      <c r="D39" s="464">
        <f>'G-2 Habitat groups'!$AL$4</f>
        <v>0</v>
      </c>
      <c r="E39" s="464">
        <f>'G-2 Habitat groups'!$AM$4</f>
        <v>0</v>
      </c>
      <c r="F39" s="464">
        <f>'G-2 Habitat groups'!$AN$4</f>
        <v>0</v>
      </c>
      <c r="G39" s="464">
        <f>E39-C39</f>
        <v>0</v>
      </c>
      <c r="H39" s="464">
        <f>F39-D39</f>
        <v>0</v>
      </c>
      <c r="J39" s="816"/>
      <c r="K39" s="818"/>
      <c r="L39" s="820"/>
    </row>
    <row r="40" spans="1:22" ht="15.75" x14ac:dyDescent="0.2">
      <c r="A40" s="794"/>
      <c r="B40" s="37" t="s">
        <v>76</v>
      </c>
      <c r="C40" s="466">
        <f>'G-2 Habitat groups'!$AK$5</f>
        <v>37.841499999999996</v>
      </c>
      <c r="D40" s="466">
        <f>'G-2 Habitat groups'!$AL$5</f>
        <v>190.91333999999998</v>
      </c>
      <c r="E40" s="466">
        <f>'G-2 Habitat groups'!$AM$5</f>
        <v>37.795099999999998</v>
      </c>
      <c r="F40" s="466">
        <f ca="1">'G-2 Habitat groups'!$AN$5</f>
        <v>323.51214751154203</v>
      </c>
      <c r="G40" s="466">
        <f t="shared" ref="G40:G50" si="0">E40-C40</f>
        <v>-4.6399999999998442E-2</v>
      </c>
      <c r="H40" s="466">
        <f t="shared" ref="H40:H50" ca="1" si="1">F40-D40</f>
        <v>132.59880751154205</v>
      </c>
      <c r="J40" s="801" t="str">
        <f>'G-1 All Habitats'!$V$3</f>
        <v>V.High</v>
      </c>
      <c r="K40" s="803">
        <f>SUMIF('A-1 Site Habitat Baseline'!$I$11:$I$258,'Detailed Results'!J40,'A-1 Site Habitat Baseline'!$W$11:$W$258)+SUMIF('D-1 Off Site Habitat Baseline'!$I$11:$I$258,'Detailed Results'!J40,'D-1 Off Site Habitat Baseline'!$W$11:$W$258)</f>
        <v>0</v>
      </c>
      <c r="L40" s="807" t="str">
        <f>IF(K40=0,"",(K40/(SUM($K$40:$K$49)))*100)</f>
        <v/>
      </c>
    </row>
    <row r="41" spans="1:22" ht="15.75" x14ac:dyDescent="0.2">
      <c r="A41" s="794"/>
      <c r="B41" s="37" t="s">
        <v>77</v>
      </c>
      <c r="C41" s="466">
        <f>'G-2 Habitat groups'!$AK$6</f>
        <v>0.4098</v>
      </c>
      <c r="D41" s="466">
        <f>'G-2 Habitat groups'!$AL$6</f>
        <v>2.8777599999999999</v>
      </c>
      <c r="E41" s="466">
        <f>'G-2 Habitat groups'!$AM$6</f>
        <v>0</v>
      </c>
      <c r="F41" s="466">
        <f>'G-2 Habitat groups'!$AN$6</f>
        <v>0</v>
      </c>
      <c r="G41" s="466">
        <f t="shared" si="0"/>
        <v>-0.4098</v>
      </c>
      <c r="H41" s="466">
        <f t="shared" si="1"/>
        <v>-2.8777599999999999</v>
      </c>
      <c r="J41" s="802"/>
      <c r="K41" s="804"/>
      <c r="L41" s="808"/>
    </row>
    <row r="42" spans="1:22" ht="15.75" x14ac:dyDescent="0.2">
      <c r="A42" s="794"/>
      <c r="B42" s="37" t="s">
        <v>78</v>
      </c>
      <c r="C42" s="466">
        <f>'G-2 Habitat groups'!$AK$7</f>
        <v>4.36E-2</v>
      </c>
      <c r="D42" s="466">
        <f>'G-2 Habitat groups'!$AL$7</f>
        <v>0.40111999999999998</v>
      </c>
      <c r="E42" s="466">
        <f>'G-2 Habitat groups'!$AM$7</f>
        <v>4.36E-2</v>
      </c>
      <c r="F42" s="466">
        <f ca="1">'G-2 Habitat groups'!$AN$7</f>
        <v>0.51764748601662514</v>
      </c>
      <c r="G42" s="466">
        <f t="shared" si="0"/>
        <v>0</v>
      </c>
      <c r="H42" s="466">
        <f t="shared" ca="1" si="1"/>
        <v>0.11652748601662516</v>
      </c>
      <c r="J42" s="801" t="str">
        <f>'G-1 All Habitats'!$V$4</f>
        <v>High</v>
      </c>
      <c r="K42" s="803">
        <f>SUMIF('A-1 Site Habitat Baseline'!$I$11:$I$258,'Detailed Results'!J42,'A-1 Site Habitat Baseline'!$W$11:$W$258)+SUMIF('D-1 Off Site Habitat Baseline'!$I$11:$I$258,'Detailed Results'!J42,'D-1 Off Site Habitat Baseline'!$W$11:$W$258)</f>
        <v>0</v>
      </c>
      <c r="L42" s="807" t="str">
        <f>IF(K42=0,"",(K42/(SUM($K$40:$K$49)))*100)</f>
        <v/>
      </c>
    </row>
    <row r="43" spans="1:22" ht="15.75" x14ac:dyDescent="0.2">
      <c r="A43" s="794"/>
      <c r="B43" s="37" t="s">
        <v>79</v>
      </c>
      <c r="C43" s="466">
        <f>'G-2 Habitat groups'!$AK$8</f>
        <v>0</v>
      </c>
      <c r="D43" s="466">
        <f>'G-2 Habitat groups'!$AL$8</f>
        <v>0</v>
      </c>
      <c r="E43" s="466">
        <f>'G-2 Habitat groups'!$AM$8</f>
        <v>0</v>
      </c>
      <c r="F43" s="466">
        <f>'G-2 Habitat groups'!$AN$8</f>
        <v>0</v>
      </c>
      <c r="G43" s="466">
        <f t="shared" si="0"/>
        <v>0</v>
      </c>
      <c r="H43" s="466">
        <f t="shared" si="1"/>
        <v>0</v>
      </c>
      <c r="J43" s="802"/>
      <c r="K43" s="804"/>
      <c r="L43" s="808"/>
    </row>
    <row r="44" spans="1:22" ht="15.75" x14ac:dyDescent="0.2">
      <c r="A44" s="794"/>
      <c r="B44" s="37" t="s">
        <v>80</v>
      </c>
      <c r="C44" s="466">
        <f>'G-2 Habitat groups'!$AK$9</f>
        <v>0.97340000000000004</v>
      </c>
      <c r="D44" s="466">
        <f>'G-2 Habitat groups'!$AL$9</f>
        <v>1.29582</v>
      </c>
      <c r="E44" s="466">
        <f>'G-2 Habitat groups'!$AM$9</f>
        <v>0.54249999999999998</v>
      </c>
      <c r="F44" s="466">
        <f>'G-2 Habitat groups'!$AN$9</f>
        <v>0</v>
      </c>
      <c r="G44" s="466">
        <f t="shared" si="0"/>
        <v>-0.43090000000000006</v>
      </c>
      <c r="H44" s="466">
        <f t="shared" si="1"/>
        <v>-1.29582</v>
      </c>
      <c r="J44" s="801" t="str">
        <f>'G-1 All Habitats'!$V5</f>
        <v>Medium</v>
      </c>
      <c r="K44" s="803">
        <f>SUMIF('A-1 Site Habitat Baseline'!$I$11:$I$258,'Detailed Results'!J44,'A-1 Site Habitat Baseline'!$W$11:$W$258)+SUMIF('D-1 Off Site Habitat Baseline'!$I$11:$I$258,'Detailed Results'!J44,'D-1 Off Site Habitat Baseline'!$W$11:$W$258)</f>
        <v>0.4098</v>
      </c>
      <c r="L44" s="807">
        <f>IF(K44=0,"",(K44/(SUM($K$40:$K$49)))*100)</f>
        <v>54.874129619710764</v>
      </c>
    </row>
    <row r="45" spans="1:22" ht="15.75" x14ac:dyDescent="0.2">
      <c r="A45" s="794"/>
      <c r="B45" s="37" t="s">
        <v>81</v>
      </c>
      <c r="C45" s="466">
        <f>'G-2 Habitat groups'!$AK$10</f>
        <v>0</v>
      </c>
      <c r="D45" s="466">
        <f>'G-2 Habitat groups'!$AL$10</f>
        <v>0</v>
      </c>
      <c r="E45" s="466">
        <f>'G-2 Habitat groups'!$AM$10</f>
        <v>0</v>
      </c>
      <c r="F45" s="466">
        <f>'G-2 Habitat groups'!$AN$10</f>
        <v>0</v>
      </c>
      <c r="G45" s="466">
        <f t="shared" si="0"/>
        <v>0</v>
      </c>
      <c r="H45" s="466">
        <f t="shared" si="1"/>
        <v>0</v>
      </c>
      <c r="J45" s="802"/>
      <c r="K45" s="804"/>
      <c r="L45" s="808"/>
    </row>
    <row r="46" spans="1:22" ht="15.75" x14ac:dyDescent="0.2">
      <c r="A46" s="794"/>
      <c r="B46" s="38" t="s">
        <v>82</v>
      </c>
      <c r="C46" s="466">
        <f>'G-2 Habitat groups'!$AK$11</f>
        <v>6.6510999999999996</v>
      </c>
      <c r="D46" s="466">
        <f>'G-2 Habitat groups'!$AL$11</f>
        <v>103.14602999999997</v>
      </c>
      <c r="E46" s="466">
        <f>'G-2 Habitat groups'!$AM$11</f>
        <v>7.5381999999999998</v>
      </c>
      <c r="F46" s="466">
        <f ca="1">'G-2 Habitat groups'!$AN$11</f>
        <v>115.90799889666741</v>
      </c>
      <c r="G46" s="466">
        <f t="shared" si="0"/>
        <v>0.88710000000000022</v>
      </c>
      <c r="H46" s="466">
        <f t="shared" ca="1" si="1"/>
        <v>12.76196889666744</v>
      </c>
      <c r="J46" s="801" t="str">
        <f>'G-1 All Habitats'!$V$6</f>
        <v>Low</v>
      </c>
      <c r="K46" s="803">
        <f>SUMIF('A-1 Site Habitat Baseline'!$I$11:$I$258,'Detailed Results'!J46,'A-1 Site Habitat Baseline'!$W$11:$W$258)+SUMIF('D-1 Off Site Habitat Baseline'!$I$11:$I$258,'Detailed Results'!J46,'D-1 Off Site Habitat Baseline'!$W$11:$W$258)</f>
        <v>0</v>
      </c>
      <c r="L46" s="807" t="str">
        <f>IF(K46=0,"",(K46/(SUM($K$40:$K$49)))*100)</f>
        <v/>
      </c>
    </row>
    <row r="47" spans="1:22" ht="15.75" x14ac:dyDescent="0.2">
      <c r="A47" s="794"/>
      <c r="B47" s="39" t="s">
        <v>83</v>
      </c>
      <c r="C47" s="466">
        <f>'G-2 Habitat groups'!$AK$12</f>
        <v>0</v>
      </c>
      <c r="D47" s="466">
        <f>'G-2 Habitat groups'!$AL$12</f>
        <v>0</v>
      </c>
      <c r="E47" s="466">
        <f>'G-2 Habitat groups'!$AM$12</f>
        <v>0</v>
      </c>
      <c r="F47" s="466">
        <f>'G-2 Habitat groups'!$AN$12</f>
        <v>0</v>
      </c>
      <c r="G47" s="466">
        <f t="shared" si="0"/>
        <v>0</v>
      </c>
      <c r="H47" s="466">
        <f t="shared" si="1"/>
        <v>0</v>
      </c>
      <c r="J47" s="802"/>
      <c r="K47" s="804"/>
      <c r="L47" s="808"/>
    </row>
    <row r="48" spans="1:22" ht="15.75" x14ac:dyDescent="0.2">
      <c r="A48" s="794"/>
      <c r="B48" s="39" t="s">
        <v>84</v>
      </c>
      <c r="C48" s="466">
        <f>'G-2 Habitat groups'!$AK$13</f>
        <v>0</v>
      </c>
      <c r="D48" s="466">
        <f>'G-2 Habitat groups'!$AL$13</f>
        <v>0</v>
      </c>
      <c r="E48" s="466">
        <f>'G-2 Habitat groups'!$AM$13</f>
        <v>0</v>
      </c>
      <c r="F48" s="466">
        <f>'G-2 Habitat groups'!$AN$13</f>
        <v>0</v>
      </c>
      <c r="G48" s="466">
        <f t="shared" si="0"/>
        <v>0</v>
      </c>
      <c r="H48" s="466">
        <f t="shared" si="1"/>
        <v>0</v>
      </c>
      <c r="J48" s="801" t="str">
        <f>'G-1 All Habitats'!$V$7</f>
        <v>V.Low</v>
      </c>
      <c r="K48" s="803">
        <f>SUMIF('A-1 Site Habitat Baseline'!$I$11:$I$258,'Detailed Results'!J48,'A-1 Site Habitat Baseline'!$W$11:$W$258)+SUMIF('D-1 Off Site Habitat Baseline'!$I$11:$I$258,'Detailed Results'!J48,'D-1 Off Site Habitat Baseline'!$W$11:$W$258)</f>
        <v>0.33700000000000002</v>
      </c>
      <c r="L48" s="807">
        <f>IF(K48=0,"",(K48/(SUM($K$40:$K$49)))*100)</f>
        <v>45.125870380289236</v>
      </c>
    </row>
    <row r="49" spans="1:33" ht="16.5" thickBot="1" x14ac:dyDescent="0.25">
      <c r="A49" s="794"/>
      <c r="B49" s="39" t="s">
        <v>85</v>
      </c>
      <c r="C49" s="466">
        <f>'G-2 Habitat groups'!$AK$14</f>
        <v>0</v>
      </c>
      <c r="D49" s="466">
        <f>'G-2 Habitat groups'!$AL$14</f>
        <v>0</v>
      </c>
      <c r="E49" s="466">
        <f>'G-2 Habitat groups'!$AM$14</f>
        <v>0</v>
      </c>
      <c r="F49" s="466">
        <f>'G-2 Habitat groups'!$AN$14</f>
        <v>0</v>
      </c>
      <c r="G49" s="466">
        <f t="shared" si="0"/>
        <v>0</v>
      </c>
      <c r="H49" s="466">
        <f t="shared" si="1"/>
        <v>0</v>
      </c>
      <c r="J49" s="806"/>
      <c r="K49" s="804"/>
      <c r="L49" s="808"/>
    </row>
    <row r="50" spans="1:33" ht="15.75" x14ac:dyDescent="0.2">
      <c r="A50" s="794"/>
      <c r="B50" s="39" t="s">
        <v>86</v>
      </c>
      <c r="C50" s="466">
        <f>'G-2 Habitat groups'!$AK$15</f>
        <v>0</v>
      </c>
      <c r="D50" s="466">
        <f>'G-2 Habitat groups'!$AL$15</f>
        <v>0</v>
      </c>
      <c r="E50" s="466">
        <f>'G-2 Habitat groups'!$AM$15</f>
        <v>0</v>
      </c>
      <c r="F50" s="466">
        <f>'G-2 Habitat groups'!$AN$15</f>
        <v>0</v>
      </c>
      <c r="G50" s="466">
        <f t="shared" si="0"/>
        <v>0</v>
      </c>
      <c r="H50" s="466">
        <f t="shared" si="1"/>
        <v>0</v>
      </c>
    </row>
    <row r="51" spans="1:33" ht="15.75" x14ac:dyDescent="0.2">
      <c r="A51" s="794"/>
      <c r="B51" s="39" t="s">
        <v>87</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2">
      <c r="A52" s="794"/>
    </row>
    <row r="53" spans="1:33" ht="15.75" customHeight="1" x14ac:dyDescent="0.2">
      <c r="A53" s="794"/>
    </row>
    <row r="54" spans="1:33" ht="10.15" customHeight="1" thickBot="1" x14ac:dyDescent="0.25">
      <c r="A54" s="794"/>
    </row>
    <row r="55" spans="1:33" ht="22.9" customHeight="1" thickBot="1" x14ac:dyDescent="0.45">
      <c r="A55" s="794"/>
      <c r="B55" s="805" t="s">
        <v>88</v>
      </c>
      <c r="C55" s="805"/>
      <c r="D55" s="805"/>
      <c r="E55" s="805"/>
      <c r="F55" s="805"/>
      <c r="G55" s="805"/>
      <c r="H55" s="805"/>
      <c r="I55" s="41"/>
      <c r="J55" s="41"/>
      <c r="K55" s="41"/>
      <c r="L55" s="41"/>
      <c r="M55" s="41"/>
    </row>
    <row r="56" spans="1:33" s="42" customFormat="1" ht="38.25" customHeight="1" thickBot="1" x14ac:dyDescent="0.25">
      <c r="A56" s="794"/>
      <c r="B56" s="35"/>
      <c r="C56" s="788" t="s">
        <v>62</v>
      </c>
      <c r="D56" s="788"/>
      <c r="E56" s="788" t="s">
        <v>89</v>
      </c>
      <c r="F56" s="788"/>
      <c r="G56" s="788" t="s">
        <v>90</v>
      </c>
      <c r="H56" s="788"/>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25">
      <c r="A57" s="794"/>
      <c r="B57" s="323" t="s">
        <v>65</v>
      </c>
      <c r="C57" s="35" t="s">
        <v>66</v>
      </c>
      <c r="D57" s="35" t="s">
        <v>91</v>
      </c>
      <c r="E57" s="35" t="s">
        <v>92</v>
      </c>
      <c r="F57" s="35" t="s">
        <v>93</v>
      </c>
      <c r="G57" s="35" t="s">
        <v>94</v>
      </c>
      <c r="H57" s="35" t="s">
        <v>95</v>
      </c>
      <c r="I57" s="40"/>
      <c r="J57" s="40"/>
    </row>
    <row r="58" spans="1:33" ht="15.75" x14ac:dyDescent="0.2">
      <c r="A58" s="794"/>
      <c r="B58" s="43" t="s">
        <v>75</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75" x14ac:dyDescent="0.2">
      <c r="A59" s="794"/>
      <c r="B59" s="37" t="s">
        <v>76</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x14ac:dyDescent="0.2">
      <c r="A60" s="794"/>
      <c r="B60" s="37" t="s">
        <v>77</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75" x14ac:dyDescent="0.2">
      <c r="A61" s="794"/>
      <c r="B61" s="37" t="s">
        <v>78</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75" x14ac:dyDescent="0.2">
      <c r="A62" s="794"/>
      <c r="B62" s="37" t="s">
        <v>79</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75" x14ac:dyDescent="0.2">
      <c r="A63" s="794"/>
      <c r="B63" s="37" t="s">
        <v>80</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75" x14ac:dyDescent="0.2">
      <c r="A64" s="794"/>
      <c r="B64" s="37" t="s">
        <v>81</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75" x14ac:dyDescent="0.2">
      <c r="A65" s="794"/>
      <c r="B65" s="38" t="s">
        <v>82</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2">
      <c r="A66" s="794"/>
      <c r="B66" s="44" t="s">
        <v>83</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2">
      <c r="A67" s="794"/>
      <c r="B67" s="44" t="s">
        <v>84</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2">
      <c r="A68" s="794"/>
      <c r="B68" s="44" t="s">
        <v>85</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2">
      <c r="A69" s="794"/>
      <c r="B69" s="44" t="s">
        <v>86</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25">
      <c r="A70" s="794"/>
      <c r="B70" s="45" t="s">
        <v>87</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2">
      <c r="A71" s="794"/>
      <c r="B71" s="40"/>
      <c r="C71" s="40"/>
      <c r="D71" s="40"/>
      <c r="E71" s="40"/>
      <c r="F71" s="40"/>
      <c r="G71" s="40"/>
      <c r="H71" s="40"/>
      <c r="I71" s="40"/>
      <c r="J71" s="40"/>
    </row>
    <row r="72" spans="1:10" ht="15.75" customHeight="1" x14ac:dyDescent="0.2">
      <c r="A72" s="794"/>
      <c r="B72" s="40"/>
      <c r="C72" s="40"/>
      <c r="D72" s="40"/>
      <c r="E72" s="40"/>
      <c r="F72" s="40"/>
      <c r="G72" s="40"/>
      <c r="H72" s="40"/>
      <c r="I72" s="40"/>
      <c r="J72" s="40"/>
    </row>
    <row r="73" spans="1:10" ht="10.9" customHeight="1" thickBot="1" x14ac:dyDescent="0.25">
      <c r="A73" s="794"/>
      <c r="B73" s="40"/>
      <c r="C73" s="40"/>
      <c r="D73" s="40"/>
      <c r="E73" s="40"/>
      <c r="F73" s="40"/>
      <c r="G73" s="40"/>
      <c r="H73" s="40"/>
      <c r="I73" s="40"/>
      <c r="J73" s="40"/>
    </row>
    <row r="74" spans="1:10" ht="18.75" thickBot="1" x14ac:dyDescent="0.3">
      <c r="A74" s="794"/>
      <c r="B74" s="805" t="s">
        <v>96</v>
      </c>
      <c r="C74" s="805"/>
      <c r="D74" s="805"/>
      <c r="E74" s="805"/>
      <c r="F74" s="805"/>
      <c r="G74" s="805"/>
      <c r="H74" s="805"/>
      <c r="I74" s="40"/>
      <c r="J74" s="40"/>
    </row>
    <row r="75" spans="1:10" ht="33.6" customHeight="1" thickBot="1" x14ac:dyDescent="0.25">
      <c r="A75" s="794"/>
      <c r="B75" s="35"/>
      <c r="C75" s="788" t="s">
        <v>62</v>
      </c>
      <c r="D75" s="788"/>
      <c r="E75" s="788" t="s">
        <v>97</v>
      </c>
      <c r="F75" s="788"/>
      <c r="G75" s="788" t="s">
        <v>98</v>
      </c>
      <c r="H75" s="788"/>
      <c r="I75" s="40"/>
      <c r="J75" s="40"/>
    </row>
    <row r="76" spans="1:10" ht="45.6" customHeight="1" x14ac:dyDescent="0.2">
      <c r="A76" s="794"/>
      <c r="B76" s="36" t="s">
        <v>65</v>
      </c>
      <c r="C76" s="324" t="s">
        <v>66</v>
      </c>
      <c r="D76" s="324" t="s">
        <v>67</v>
      </c>
      <c r="E76" s="324" t="s">
        <v>99</v>
      </c>
      <c r="F76" s="324" t="s">
        <v>100</v>
      </c>
      <c r="G76" s="324" t="s">
        <v>68</v>
      </c>
      <c r="H76" s="324" t="s">
        <v>69</v>
      </c>
      <c r="I76" s="40"/>
      <c r="J76" s="40"/>
    </row>
    <row r="77" spans="1:10" ht="15.75" customHeight="1" x14ac:dyDescent="0.2">
      <c r="A77" s="794"/>
      <c r="B77" s="37" t="s">
        <v>75</v>
      </c>
      <c r="C77" s="466">
        <f t="shared" ref="C77:H89" si="8">C39+C58</f>
        <v>0</v>
      </c>
      <c r="D77" s="466">
        <f t="shared" si="8"/>
        <v>0</v>
      </c>
      <c r="E77" s="466">
        <f t="shared" si="8"/>
        <v>0</v>
      </c>
      <c r="F77" s="466">
        <f t="shared" si="8"/>
        <v>0</v>
      </c>
      <c r="G77" s="466">
        <f t="shared" si="8"/>
        <v>0</v>
      </c>
      <c r="H77" s="467">
        <f t="shared" si="8"/>
        <v>0</v>
      </c>
      <c r="I77" s="40"/>
      <c r="J77" s="40"/>
    </row>
    <row r="78" spans="1:10" ht="15.75" customHeight="1" x14ac:dyDescent="0.2">
      <c r="A78" s="794"/>
      <c r="B78" s="37" t="s">
        <v>76</v>
      </c>
      <c r="C78" s="466">
        <f t="shared" si="8"/>
        <v>37.841499999999996</v>
      </c>
      <c r="D78" s="466">
        <f t="shared" si="8"/>
        <v>190.91333999999998</v>
      </c>
      <c r="E78" s="466">
        <f t="shared" si="8"/>
        <v>37.795099999999998</v>
      </c>
      <c r="F78" s="466">
        <f t="shared" ca="1" si="8"/>
        <v>323.51214751154203</v>
      </c>
      <c r="G78" s="466">
        <f t="shared" si="8"/>
        <v>-4.6399999999998442E-2</v>
      </c>
      <c r="H78" s="467">
        <f t="shared" ca="1" si="8"/>
        <v>132.59880751154205</v>
      </c>
      <c r="I78" s="40"/>
      <c r="J78" s="40"/>
    </row>
    <row r="79" spans="1:10" ht="15.75" customHeight="1" x14ac:dyDescent="0.2">
      <c r="A79" s="794"/>
      <c r="B79" s="37" t="s">
        <v>77</v>
      </c>
      <c r="C79" s="466">
        <f t="shared" si="8"/>
        <v>0.4098</v>
      </c>
      <c r="D79" s="466">
        <f t="shared" si="8"/>
        <v>2.8777599999999999</v>
      </c>
      <c r="E79" s="466">
        <f t="shared" si="8"/>
        <v>0</v>
      </c>
      <c r="F79" s="466">
        <f t="shared" si="8"/>
        <v>0</v>
      </c>
      <c r="G79" s="466">
        <f t="shared" si="8"/>
        <v>-0.4098</v>
      </c>
      <c r="H79" s="467">
        <f t="shared" si="8"/>
        <v>-2.8777599999999999</v>
      </c>
      <c r="I79" s="40"/>
      <c r="J79" s="40"/>
    </row>
    <row r="80" spans="1:10" ht="15.75" customHeight="1" x14ac:dyDescent="0.2">
      <c r="A80" s="794"/>
      <c r="B80" s="37" t="s">
        <v>78</v>
      </c>
      <c r="C80" s="466">
        <f t="shared" si="8"/>
        <v>4.36E-2</v>
      </c>
      <c r="D80" s="466">
        <f t="shared" si="8"/>
        <v>0.40111999999999998</v>
      </c>
      <c r="E80" s="466">
        <f t="shared" si="8"/>
        <v>4.36E-2</v>
      </c>
      <c r="F80" s="466">
        <f t="shared" ca="1" si="8"/>
        <v>0.51764748601662514</v>
      </c>
      <c r="G80" s="466">
        <f t="shared" si="8"/>
        <v>0</v>
      </c>
      <c r="H80" s="467">
        <f t="shared" ca="1" si="8"/>
        <v>0.11652748601662516</v>
      </c>
      <c r="I80" s="40"/>
      <c r="J80" s="40"/>
    </row>
    <row r="81" spans="1:12" ht="15.75" customHeight="1" x14ac:dyDescent="0.2">
      <c r="A81" s="794"/>
      <c r="B81" s="37" t="s">
        <v>79</v>
      </c>
      <c r="C81" s="466">
        <f t="shared" si="8"/>
        <v>0</v>
      </c>
      <c r="D81" s="466">
        <f t="shared" si="8"/>
        <v>0</v>
      </c>
      <c r="E81" s="466">
        <f t="shared" si="8"/>
        <v>0</v>
      </c>
      <c r="F81" s="466">
        <f t="shared" si="8"/>
        <v>0</v>
      </c>
      <c r="G81" s="466">
        <f t="shared" si="8"/>
        <v>0</v>
      </c>
      <c r="H81" s="467">
        <f t="shared" si="8"/>
        <v>0</v>
      </c>
      <c r="I81" s="40"/>
      <c r="J81" s="40"/>
    </row>
    <row r="82" spans="1:12" ht="15.75" customHeight="1" x14ac:dyDescent="0.2">
      <c r="A82" s="794"/>
      <c r="B82" s="37" t="s">
        <v>80</v>
      </c>
      <c r="C82" s="466">
        <f t="shared" si="8"/>
        <v>0.97340000000000004</v>
      </c>
      <c r="D82" s="466">
        <f t="shared" si="8"/>
        <v>1.29582</v>
      </c>
      <c r="E82" s="466">
        <f t="shared" si="8"/>
        <v>0.54249999999999998</v>
      </c>
      <c r="F82" s="466">
        <f t="shared" si="8"/>
        <v>0</v>
      </c>
      <c r="G82" s="466">
        <f t="shared" si="8"/>
        <v>-0.43090000000000006</v>
      </c>
      <c r="H82" s="467">
        <f t="shared" si="8"/>
        <v>-1.29582</v>
      </c>
      <c r="I82" s="40"/>
      <c r="J82" s="40"/>
    </row>
    <row r="83" spans="1:12" ht="15.75" customHeight="1" x14ac:dyDescent="0.2">
      <c r="A83" s="794"/>
      <c r="B83" s="37" t="s">
        <v>81</v>
      </c>
      <c r="C83" s="466">
        <f t="shared" si="8"/>
        <v>0</v>
      </c>
      <c r="D83" s="466">
        <f t="shared" si="8"/>
        <v>0</v>
      </c>
      <c r="E83" s="466">
        <f t="shared" si="8"/>
        <v>0</v>
      </c>
      <c r="F83" s="466">
        <f t="shared" si="8"/>
        <v>0</v>
      </c>
      <c r="G83" s="466">
        <f t="shared" si="8"/>
        <v>0</v>
      </c>
      <c r="H83" s="467">
        <f t="shared" si="8"/>
        <v>0</v>
      </c>
      <c r="I83" s="40"/>
      <c r="J83" s="40"/>
    </row>
    <row r="84" spans="1:12" ht="18" customHeight="1" x14ac:dyDescent="0.2">
      <c r="A84" s="794"/>
      <c r="B84" s="38" t="s">
        <v>82</v>
      </c>
      <c r="C84" s="466">
        <f t="shared" si="8"/>
        <v>6.6510999999999996</v>
      </c>
      <c r="D84" s="466">
        <f t="shared" si="8"/>
        <v>103.14602999999997</v>
      </c>
      <c r="E84" s="466">
        <f t="shared" si="8"/>
        <v>7.5381999999999998</v>
      </c>
      <c r="F84" s="466">
        <f t="shared" ca="1" si="8"/>
        <v>115.90799889666741</v>
      </c>
      <c r="G84" s="466">
        <f t="shared" si="8"/>
        <v>0.88710000000000022</v>
      </c>
      <c r="H84" s="467">
        <f t="shared" ca="1" si="8"/>
        <v>12.76196889666744</v>
      </c>
      <c r="I84" s="40"/>
      <c r="J84" s="40"/>
    </row>
    <row r="85" spans="1:12" ht="15.75" x14ac:dyDescent="0.2">
      <c r="A85" s="794"/>
      <c r="B85" s="44" t="s">
        <v>83</v>
      </c>
      <c r="C85" s="466">
        <f t="shared" si="8"/>
        <v>0</v>
      </c>
      <c r="D85" s="466">
        <f t="shared" si="8"/>
        <v>0</v>
      </c>
      <c r="E85" s="466">
        <f t="shared" si="8"/>
        <v>0</v>
      </c>
      <c r="F85" s="466">
        <f t="shared" si="8"/>
        <v>0</v>
      </c>
      <c r="G85" s="466">
        <f t="shared" si="8"/>
        <v>0</v>
      </c>
      <c r="H85" s="467">
        <f t="shared" si="8"/>
        <v>0</v>
      </c>
      <c r="I85" s="40"/>
      <c r="J85" s="40"/>
    </row>
    <row r="86" spans="1:12" ht="15.75" x14ac:dyDescent="0.2">
      <c r="A86" s="794"/>
      <c r="B86" s="44" t="s">
        <v>84</v>
      </c>
      <c r="C86" s="466">
        <f t="shared" si="8"/>
        <v>0</v>
      </c>
      <c r="D86" s="466">
        <f t="shared" si="8"/>
        <v>0</v>
      </c>
      <c r="E86" s="466">
        <f t="shared" si="8"/>
        <v>0</v>
      </c>
      <c r="F86" s="466">
        <f t="shared" si="8"/>
        <v>0</v>
      </c>
      <c r="G86" s="466">
        <f t="shared" si="8"/>
        <v>0</v>
      </c>
      <c r="H86" s="467">
        <f t="shared" si="8"/>
        <v>0</v>
      </c>
      <c r="I86" s="40"/>
      <c r="J86" s="40"/>
    </row>
    <row r="87" spans="1:12" ht="15.75" x14ac:dyDescent="0.2">
      <c r="A87" s="794"/>
      <c r="B87" s="44" t="s">
        <v>85</v>
      </c>
      <c r="C87" s="466">
        <f t="shared" si="8"/>
        <v>0</v>
      </c>
      <c r="D87" s="466">
        <f t="shared" si="8"/>
        <v>0</v>
      </c>
      <c r="E87" s="466">
        <f t="shared" si="8"/>
        <v>0</v>
      </c>
      <c r="F87" s="466">
        <f t="shared" si="8"/>
        <v>0</v>
      </c>
      <c r="G87" s="466">
        <f t="shared" si="8"/>
        <v>0</v>
      </c>
      <c r="H87" s="467">
        <f t="shared" si="8"/>
        <v>0</v>
      </c>
      <c r="I87" s="40"/>
      <c r="J87" s="40"/>
    </row>
    <row r="88" spans="1:12" ht="15.75" x14ac:dyDescent="0.2">
      <c r="A88" s="794"/>
      <c r="B88" s="44" t="s">
        <v>86</v>
      </c>
      <c r="C88" s="466">
        <f t="shared" si="8"/>
        <v>0</v>
      </c>
      <c r="D88" s="466">
        <f t="shared" si="8"/>
        <v>0</v>
      </c>
      <c r="E88" s="466">
        <f t="shared" si="8"/>
        <v>0</v>
      </c>
      <c r="F88" s="466">
        <f t="shared" si="8"/>
        <v>0</v>
      </c>
      <c r="G88" s="466">
        <f t="shared" si="8"/>
        <v>0</v>
      </c>
      <c r="H88" s="467">
        <f t="shared" si="8"/>
        <v>0</v>
      </c>
      <c r="I88" s="40"/>
      <c r="J88" s="40"/>
    </row>
    <row r="89" spans="1:12" ht="16.5" thickBot="1" x14ac:dyDescent="0.25">
      <c r="A89" s="794"/>
      <c r="B89" s="45" t="s">
        <v>87</v>
      </c>
      <c r="C89" s="469">
        <f t="shared" si="8"/>
        <v>0</v>
      </c>
      <c r="D89" s="469">
        <f t="shared" si="8"/>
        <v>0</v>
      </c>
      <c r="E89" s="469">
        <f t="shared" si="8"/>
        <v>0</v>
      </c>
      <c r="F89" s="469">
        <f t="shared" si="8"/>
        <v>0</v>
      </c>
      <c r="G89" s="469">
        <f t="shared" si="8"/>
        <v>0</v>
      </c>
      <c r="H89" s="470">
        <f t="shared" si="8"/>
        <v>0</v>
      </c>
      <c r="I89" s="40"/>
      <c r="J89" s="40"/>
    </row>
    <row r="90" spans="1:12" ht="15" customHeight="1" x14ac:dyDescent="0.2">
      <c r="A90" s="794"/>
      <c r="B90" s="40"/>
      <c r="C90" s="40"/>
      <c r="D90" s="40"/>
      <c r="E90" s="40"/>
      <c r="F90" s="40"/>
      <c r="G90" s="40"/>
      <c r="H90" s="40"/>
      <c r="I90" s="40"/>
      <c r="J90" s="40"/>
    </row>
    <row r="91" spans="1:12" s="332" customFormat="1" ht="66" customHeight="1" thickBot="1" x14ac:dyDescent="0.25">
      <c r="A91" s="795"/>
    </row>
    <row r="92" spans="1:12" ht="37.9" customHeight="1" thickTop="1" thickBot="1" x14ac:dyDescent="0.25">
      <c r="A92" s="796" t="s">
        <v>101</v>
      </c>
    </row>
    <row r="93" spans="1:12" ht="26.25" thickBot="1" x14ac:dyDescent="0.4">
      <c r="A93" s="797"/>
      <c r="B93" s="825" t="s">
        <v>102</v>
      </c>
      <c r="C93" s="826"/>
      <c r="D93" s="827"/>
    </row>
    <row r="94" spans="1:12" x14ac:dyDescent="0.2">
      <c r="A94" s="797"/>
    </row>
    <row r="95" spans="1:12" ht="15" customHeight="1" thickBot="1" x14ac:dyDescent="0.25">
      <c r="A95" s="797"/>
    </row>
    <row r="96" spans="1:12" ht="18" customHeight="1" thickBot="1" x14ac:dyDescent="0.3">
      <c r="A96" s="797"/>
      <c r="B96" s="805" t="s">
        <v>103</v>
      </c>
      <c r="C96" s="805"/>
      <c r="D96" s="805"/>
      <c r="E96" s="805"/>
      <c r="F96" s="805"/>
      <c r="G96" s="805"/>
      <c r="H96" s="805"/>
      <c r="J96" s="809" t="s">
        <v>104</v>
      </c>
      <c r="K96" s="810"/>
      <c r="L96" s="811"/>
    </row>
    <row r="97" spans="1:12" ht="16.149999999999999" customHeight="1" thickBot="1" x14ac:dyDescent="0.25">
      <c r="A97" s="797"/>
      <c r="B97" s="35"/>
      <c r="C97" s="788" t="s">
        <v>62</v>
      </c>
      <c r="D97" s="788"/>
      <c r="E97" s="788" t="s">
        <v>63</v>
      </c>
      <c r="F97" s="788"/>
      <c r="G97" s="788" t="s">
        <v>64</v>
      </c>
      <c r="H97" s="788"/>
      <c r="J97" s="812"/>
      <c r="K97" s="813"/>
      <c r="L97" s="814"/>
    </row>
    <row r="98" spans="1:12" ht="48" thickBot="1" x14ac:dyDescent="0.25">
      <c r="A98" s="797"/>
      <c r="B98" s="323" t="s">
        <v>105</v>
      </c>
      <c r="C98" s="35" t="s">
        <v>106</v>
      </c>
      <c r="D98" s="35" t="s">
        <v>67</v>
      </c>
      <c r="E98" s="35" t="s">
        <v>107</v>
      </c>
      <c r="F98" s="35" t="s">
        <v>108</v>
      </c>
      <c r="G98" s="35" t="s">
        <v>109</v>
      </c>
      <c r="H98" s="35" t="s">
        <v>110</v>
      </c>
      <c r="J98" s="815" t="s">
        <v>72</v>
      </c>
      <c r="K98" s="817" t="s">
        <v>111</v>
      </c>
      <c r="L98" s="819" t="s">
        <v>112</v>
      </c>
    </row>
    <row r="99" spans="1:12" ht="31.5" x14ac:dyDescent="0.2">
      <c r="A99" s="797"/>
      <c r="B99" s="328" t="s">
        <v>113</v>
      </c>
      <c r="C99" s="464">
        <f>'G-2 Habitat groups'!E146</f>
        <v>0</v>
      </c>
      <c r="D99" s="464">
        <f>'G-2 Habitat groups'!F146</f>
        <v>0</v>
      </c>
      <c r="E99" s="464">
        <f>'G-2 Habitat groups'!O146</f>
        <v>0</v>
      </c>
      <c r="F99" s="464">
        <f>'G-2 Habitat groups'!P146</f>
        <v>0</v>
      </c>
      <c r="G99" s="464">
        <f>E99-C99</f>
        <v>0</v>
      </c>
      <c r="H99" s="464">
        <f t="shared" ref="H99:H111" si="9">F99-D99</f>
        <v>0</v>
      </c>
      <c r="J99" s="816"/>
      <c r="K99" s="818"/>
      <c r="L99" s="820"/>
    </row>
    <row r="100" spans="1:12" ht="15.75" x14ac:dyDescent="0.2">
      <c r="A100" s="797"/>
      <c r="B100" s="329" t="s">
        <v>114</v>
      </c>
      <c r="C100" s="464">
        <f>'G-2 Habitat groups'!E147</f>
        <v>0</v>
      </c>
      <c r="D100" s="464">
        <f>'G-2 Habitat groups'!F147</f>
        <v>0</v>
      </c>
      <c r="E100" s="464">
        <f>'G-2 Habitat groups'!O147</f>
        <v>0.80600000000000005</v>
      </c>
      <c r="F100" s="464">
        <f>'G-2 Habitat groups'!P147</f>
        <v>8.1818526552867006</v>
      </c>
      <c r="G100" s="464">
        <f t="shared" ref="G100:G111" si="10">E100-C100</f>
        <v>0.80600000000000005</v>
      </c>
      <c r="H100" s="464">
        <f t="shared" si="9"/>
        <v>8.1818526552867006</v>
      </c>
      <c r="J100" s="801" t="str">
        <f>'G-1 All Habitats'!$V$3</f>
        <v>V.High</v>
      </c>
      <c r="K100" s="803">
        <f>SUMIF('B-1 Site Hedge Baseline'!$F$10:$F$257,'Detailed Results'!J100,'B-1 Site Hedge Baseline'!$T$10:$T$257)+SUMIF('E-1 Off Site Hedge Baseline'!$F$10:$F$257,'Detailed Results'!J100,'E-1 Off Site Hedge Baseline'!$T$10:$T$257)</f>
        <v>0</v>
      </c>
      <c r="L100" s="807" t="str">
        <f>IF(K100=0,"",(K100/(SUM($K$100:$K$109)))*100)</f>
        <v/>
      </c>
    </row>
    <row r="101" spans="1:12" ht="15.75" x14ac:dyDescent="0.2">
      <c r="A101" s="797"/>
      <c r="B101" s="329" t="s">
        <v>115</v>
      </c>
      <c r="C101" s="464">
        <f>'G-2 Habitat groups'!E148</f>
        <v>0</v>
      </c>
      <c r="D101" s="464">
        <f>'G-2 Habitat groups'!F148</f>
        <v>0</v>
      </c>
      <c r="E101" s="464">
        <f>'G-2 Habitat groups'!O148</f>
        <v>0</v>
      </c>
      <c r="F101" s="464">
        <f>'G-2 Habitat groups'!P148</f>
        <v>0</v>
      </c>
      <c r="G101" s="464">
        <f t="shared" si="10"/>
        <v>0</v>
      </c>
      <c r="H101" s="464">
        <f t="shared" si="9"/>
        <v>0</v>
      </c>
      <c r="J101" s="802"/>
      <c r="K101" s="804"/>
      <c r="L101" s="808"/>
    </row>
    <row r="102" spans="1:12" ht="15.75" x14ac:dyDescent="0.2">
      <c r="A102" s="797"/>
      <c r="B102" s="329" t="s">
        <v>116</v>
      </c>
      <c r="C102" s="464">
        <f>'G-2 Habitat groups'!E149</f>
        <v>0</v>
      </c>
      <c r="D102" s="464">
        <f>'G-2 Habitat groups'!F149</f>
        <v>0</v>
      </c>
      <c r="E102" s="464">
        <f>'G-2 Habitat groups'!O149</f>
        <v>0</v>
      </c>
      <c r="F102" s="464">
        <f>'G-2 Habitat groups'!P149</f>
        <v>0</v>
      </c>
      <c r="G102" s="464">
        <f t="shared" si="10"/>
        <v>0</v>
      </c>
      <c r="H102" s="464">
        <f t="shared" si="9"/>
        <v>0</v>
      </c>
      <c r="J102" s="801" t="str">
        <f>'G-1 All Habitats'!$V$4</f>
        <v>High</v>
      </c>
      <c r="K102" s="803">
        <f>SUMIF('B-1 Site Hedge Baseline'!$F$10:$F$257,'Detailed Results'!J102,'B-1 Site Hedge Baseline'!$T$10:$T$257)+SUMIF('E-1 Off Site Hedge Baseline'!$F$10:$F$257,'Detailed Results'!J102,'E-1 Off Site Hedge Baseline'!$T$10:$T$257)</f>
        <v>0</v>
      </c>
      <c r="L102" s="807" t="str">
        <f t="shared" ref="L102" si="11">IF(K102=0,"",(K102/(SUM($K$100:$K$109)))*100)</f>
        <v/>
      </c>
    </row>
    <row r="103" spans="1:12" ht="15.75" x14ac:dyDescent="0.2">
      <c r="A103" s="797"/>
      <c r="B103" s="329" t="s">
        <v>117</v>
      </c>
      <c r="C103" s="464">
        <f>'G-2 Habitat groups'!E150</f>
        <v>0.12</v>
      </c>
      <c r="D103" s="464">
        <f>'G-2 Habitat groups'!F150</f>
        <v>1.6559999999999999</v>
      </c>
      <c r="E103" s="464">
        <f>'G-2 Habitat groups'!O150</f>
        <v>0.245</v>
      </c>
      <c r="F103" s="464">
        <f>'G-2 Habitat groups'!P150</f>
        <v>2.7809076222074998</v>
      </c>
      <c r="G103" s="464">
        <f t="shared" si="10"/>
        <v>0.125</v>
      </c>
      <c r="H103" s="464">
        <f t="shared" si="9"/>
        <v>1.1249076222074998</v>
      </c>
      <c r="J103" s="802"/>
      <c r="K103" s="804"/>
      <c r="L103" s="808"/>
    </row>
    <row r="104" spans="1:12" ht="15.75" x14ac:dyDescent="0.2">
      <c r="A104" s="797"/>
      <c r="B104" s="329" t="s">
        <v>118</v>
      </c>
      <c r="C104" s="464">
        <f>'G-2 Habitat groups'!E151</f>
        <v>0</v>
      </c>
      <c r="D104" s="464">
        <f>'G-2 Habitat groups'!F151</f>
        <v>0</v>
      </c>
      <c r="E104" s="464">
        <f>'G-2 Habitat groups'!O151</f>
        <v>0</v>
      </c>
      <c r="F104" s="464">
        <f>'G-2 Habitat groups'!P151</f>
        <v>0</v>
      </c>
      <c r="G104" s="464">
        <f t="shared" si="10"/>
        <v>0</v>
      </c>
      <c r="H104" s="464">
        <f t="shared" si="9"/>
        <v>0</v>
      </c>
      <c r="J104" s="801" t="str">
        <f>'G-1 All Habitats'!$V$5</f>
        <v>Medium</v>
      </c>
      <c r="K104" s="803">
        <f>SUMIF('B-1 Site Hedge Baseline'!$F$10:$F$257,'Detailed Results'!J104,'B-1 Site Hedge Baseline'!$T$10:$T$257)+SUMIF('E-1 Off Site Hedge Baseline'!$F$10:$F$257,'Detailed Results'!J104,'E-1 Off Site Hedge Baseline'!$T$10:$T$257)</f>
        <v>0</v>
      </c>
      <c r="L104" s="807" t="str">
        <f t="shared" ref="L104" si="12">IF(K104=0,"",(K104/(SUM($K$100:$K$109)))*100)</f>
        <v/>
      </c>
    </row>
    <row r="105" spans="1:12" ht="15.75" x14ac:dyDescent="0.2">
      <c r="A105" s="797"/>
      <c r="B105" s="329" t="s">
        <v>119</v>
      </c>
      <c r="C105" s="464">
        <f>'G-2 Habitat groups'!E152</f>
        <v>0.61499999999999999</v>
      </c>
      <c r="D105" s="464">
        <f>'G-2 Habitat groups'!F152</f>
        <v>7.7417999999999996</v>
      </c>
      <c r="E105" s="464">
        <f>'G-2 Habitat groups'!O152</f>
        <v>3.4369999999999998</v>
      </c>
      <c r="F105" s="464">
        <f ca="1">'G-2 Habitat groups'!P152</f>
        <v>39.080093827447314</v>
      </c>
      <c r="G105" s="464">
        <f t="shared" si="10"/>
        <v>2.8220000000000001</v>
      </c>
      <c r="H105" s="464">
        <f t="shared" ca="1" si="9"/>
        <v>31.338293827447316</v>
      </c>
      <c r="J105" s="802"/>
      <c r="K105" s="804"/>
      <c r="L105" s="808"/>
    </row>
    <row r="106" spans="1:12" ht="15.75" x14ac:dyDescent="0.2">
      <c r="A106" s="797"/>
      <c r="B106" s="330" t="s">
        <v>120</v>
      </c>
      <c r="C106" s="464">
        <f>'G-2 Habitat groups'!E153</f>
        <v>0</v>
      </c>
      <c r="D106" s="464">
        <f>'G-2 Habitat groups'!F153</f>
        <v>0</v>
      </c>
      <c r="E106" s="464">
        <f>'G-2 Habitat groups'!O153</f>
        <v>0</v>
      </c>
      <c r="F106" s="464">
        <f>'G-2 Habitat groups'!P153</f>
        <v>0</v>
      </c>
      <c r="G106" s="464">
        <f t="shared" si="10"/>
        <v>0</v>
      </c>
      <c r="H106" s="464">
        <f t="shared" si="9"/>
        <v>0</v>
      </c>
      <c r="J106" s="801" t="str">
        <f>'G-1 All Habitats'!$V$6</f>
        <v>Low</v>
      </c>
      <c r="K106" s="803">
        <f>SUMIF('B-1 Site Hedge Baseline'!$F$10:$F$257,'Detailed Results'!J106,'B-1 Site Hedge Baseline'!$T$10:$T$257)+SUMIF('E-1 Off Site Hedge Baseline'!$F$10:$F$257,'Detailed Results'!J106,'E-1 Off Site Hedge Baseline'!$T$10:$T$257)</f>
        <v>0.57800000000000007</v>
      </c>
      <c r="L106" s="807">
        <f t="shared" ref="L106" si="13">IF(K106=0,"",(K106/(SUM($K$100:$K$109)))*100)</f>
        <v>100</v>
      </c>
    </row>
    <row r="107" spans="1:12" ht="15.75" x14ac:dyDescent="0.2">
      <c r="A107" s="797"/>
      <c r="B107" s="331" t="s">
        <v>121</v>
      </c>
      <c r="C107" s="464">
        <f>'G-2 Habitat groups'!E154</f>
        <v>0</v>
      </c>
      <c r="D107" s="464">
        <f>'G-2 Habitat groups'!F154</f>
        <v>0</v>
      </c>
      <c r="E107" s="464">
        <f>'G-2 Habitat groups'!O154</f>
        <v>0</v>
      </c>
      <c r="F107" s="464">
        <f>'G-2 Habitat groups'!P154</f>
        <v>0</v>
      </c>
      <c r="G107" s="464">
        <f t="shared" si="10"/>
        <v>0</v>
      </c>
      <c r="H107" s="464">
        <f t="shared" si="9"/>
        <v>0</v>
      </c>
      <c r="J107" s="802"/>
      <c r="K107" s="804"/>
      <c r="L107" s="808"/>
    </row>
    <row r="108" spans="1:12" ht="15.75" x14ac:dyDescent="0.2">
      <c r="A108" s="797"/>
      <c r="B108" s="331" t="s">
        <v>122</v>
      </c>
      <c r="C108" s="464">
        <f>'G-2 Habitat groups'!E155</f>
        <v>3.9550000000000001</v>
      </c>
      <c r="D108" s="464">
        <f>'G-2 Habitat groups'!F155</f>
        <v>15.248999999999997</v>
      </c>
      <c r="E108" s="464">
        <f>'G-2 Habitat groups'!O155</f>
        <v>1.133</v>
      </c>
      <c r="F108" s="464">
        <f ca="1">'G-2 Habitat groups'!P155</f>
        <v>5.3803398539625</v>
      </c>
      <c r="G108" s="464">
        <f t="shared" si="10"/>
        <v>-2.8220000000000001</v>
      </c>
      <c r="H108" s="464">
        <f t="shared" ca="1" si="9"/>
        <v>-9.868660146037497</v>
      </c>
      <c r="J108" s="801" t="str">
        <f>'G-1 All Habitats'!$V$7</f>
        <v>V.Low</v>
      </c>
      <c r="K108" s="803">
        <f>SUMIF('B-1 Site Hedge Baseline'!$F$10:$F$257,'Detailed Results'!J108,'B-1 Site Hedge Baseline'!$T$10:$T$257)+SUMIF('E-1 Off Site Hedge Baseline'!$F$10:$F$257,'Detailed Results'!J108,'E-1 Off Site Hedge Baseline'!$T$10:$T$257)</f>
        <v>0</v>
      </c>
      <c r="L108" s="807" t="str">
        <f t="shared" ref="L108" si="14">IF(K108=0,"",(K108/(SUM($K$100:$K$109)))*100)</f>
        <v/>
      </c>
    </row>
    <row r="109" spans="1:12" ht="16.5" thickBot="1" x14ac:dyDescent="0.25">
      <c r="A109" s="797"/>
      <c r="B109" s="331" t="s">
        <v>123</v>
      </c>
      <c r="C109" s="464">
        <f>'G-2 Habitat groups'!E156</f>
        <v>0.63</v>
      </c>
      <c r="D109" s="464">
        <f>'G-2 Habitat groups'!F156</f>
        <v>2.0998999999999999</v>
      </c>
      <c r="E109" s="464">
        <f>'G-2 Habitat groups'!O156</f>
        <v>5.1999999999999998E-2</v>
      </c>
      <c r="F109" s="464">
        <f>'G-2 Habitat groups'!P156</f>
        <v>0.35879999999999995</v>
      </c>
      <c r="G109" s="464">
        <f t="shared" si="10"/>
        <v>-0.57799999999999996</v>
      </c>
      <c r="H109" s="464">
        <f t="shared" si="9"/>
        <v>-1.7410999999999999</v>
      </c>
      <c r="J109" s="806"/>
      <c r="K109" s="804"/>
      <c r="L109" s="808"/>
    </row>
    <row r="110" spans="1:12" ht="15.75" x14ac:dyDescent="0.2">
      <c r="A110" s="797"/>
      <c r="B110" s="331" t="s">
        <v>124</v>
      </c>
      <c r="C110" s="464">
        <f>'G-2 Habitat groups'!E157</f>
        <v>0</v>
      </c>
      <c r="D110" s="464">
        <f>'G-2 Habitat groups'!F157</f>
        <v>0</v>
      </c>
      <c r="E110" s="464">
        <f>'G-2 Habitat groups'!O157</f>
        <v>0</v>
      </c>
      <c r="F110" s="464">
        <f>'G-2 Habitat groups'!P157</f>
        <v>0</v>
      </c>
      <c r="G110" s="464">
        <f t="shared" si="10"/>
        <v>0</v>
      </c>
      <c r="H110" s="464">
        <f t="shared" si="9"/>
        <v>0</v>
      </c>
    </row>
    <row r="111" spans="1:12" ht="15.75" x14ac:dyDescent="0.2">
      <c r="A111" s="797"/>
      <c r="B111" s="331" t="s">
        <v>125</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2">
      <c r="A112" s="797"/>
    </row>
    <row r="113" spans="1:8" x14ac:dyDescent="0.2">
      <c r="A113" s="797"/>
    </row>
    <row r="114" spans="1:8" x14ac:dyDescent="0.2">
      <c r="A114" s="797"/>
    </row>
    <row r="115" spans="1:8" ht="15" thickBot="1" x14ac:dyDescent="0.25">
      <c r="A115" s="797"/>
    </row>
    <row r="116" spans="1:8" ht="18.75" thickBot="1" x14ac:dyDescent="0.3">
      <c r="A116" s="797"/>
      <c r="B116" s="805" t="s">
        <v>126</v>
      </c>
      <c r="C116" s="805"/>
      <c r="D116" s="805"/>
      <c r="E116" s="805"/>
      <c r="F116" s="805"/>
      <c r="G116" s="805"/>
      <c r="H116" s="805"/>
    </row>
    <row r="117" spans="1:8" ht="16.5" thickBot="1" x14ac:dyDescent="0.25">
      <c r="A117" s="797"/>
      <c r="B117" s="35"/>
      <c r="C117" s="788" t="s">
        <v>127</v>
      </c>
      <c r="D117" s="788"/>
      <c r="E117" s="788" t="s">
        <v>128</v>
      </c>
      <c r="F117" s="788"/>
      <c r="G117" s="788" t="s">
        <v>129</v>
      </c>
      <c r="H117" s="788"/>
    </row>
    <row r="118" spans="1:8" ht="48" thickBot="1" x14ac:dyDescent="0.25">
      <c r="A118" s="797"/>
      <c r="B118" s="323" t="s">
        <v>105</v>
      </c>
      <c r="C118" s="35" t="s">
        <v>130</v>
      </c>
      <c r="D118" s="35" t="s">
        <v>131</v>
      </c>
      <c r="E118" s="35" t="s">
        <v>132</v>
      </c>
      <c r="F118" s="35" t="s">
        <v>133</v>
      </c>
      <c r="G118" s="35" t="s">
        <v>134</v>
      </c>
      <c r="H118" s="35" t="s">
        <v>135</v>
      </c>
    </row>
    <row r="119" spans="1:8" ht="31.5" x14ac:dyDescent="0.2">
      <c r="A119" s="797"/>
      <c r="B119" s="328" t="s">
        <v>113</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75" x14ac:dyDescent="0.2">
      <c r="A120" s="797"/>
      <c r="B120" s="329" t="s">
        <v>114</v>
      </c>
      <c r="C120" s="464">
        <f>'G-2 Habitat groups'!S147</f>
        <v>0</v>
      </c>
      <c r="D120" s="464">
        <f>'G-2 Habitat groups'!T147</f>
        <v>0</v>
      </c>
      <c r="E120" s="464">
        <f>'G-2 Habitat groups'!AA147</f>
        <v>0</v>
      </c>
      <c r="F120" s="464">
        <f>'G-2 Habitat groups'!AB147</f>
        <v>0</v>
      </c>
      <c r="G120" s="464">
        <f t="shared" si="15"/>
        <v>0</v>
      </c>
      <c r="H120" s="464">
        <f t="shared" si="16"/>
        <v>0</v>
      </c>
    </row>
    <row r="121" spans="1:8" ht="15.75" x14ac:dyDescent="0.2">
      <c r="A121" s="797"/>
      <c r="B121" s="329" t="s">
        <v>115</v>
      </c>
      <c r="C121" s="464">
        <f>'G-2 Habitat groups'!S148</f>
        <v>0</v>
      </c>
      <c r="D121" s="464">
        <f>'G-2 Habitat groups'!T148</f>
        <v>0</v>
      </c>
      <c r="E121" s="464">
        <f>'G-2 Habitat groups'!AA148</f>
        <v>0</v>
      </c>
      <c r="F121" s="464">
        <f>'G-2 Habitat groups'!AB148</f>
        <v>0</v>
      </c>
      <c r="G121" s="464">
        <f t="shared" si="15"/>
        <v>0</v>
      </c>
      <c r="H121" s="464">
        <f t="shared" si="16"/>
        <v>0</v>
      </c>
    </row>
    <row r="122" spans="1:8" ht="15.75" x14ac:dyDescent="0.2">
      <c r="A122" s="797"/>
      <c r="B122" s="329" t="s">
        <v>116</v>
      </c>
      <c r="C122" s="464">
        <f>'G-2 Habitat groups'!S149</f>
        <v>0</v>
      </c>
      <c r="D122" s="464">
        <f>'G-2 Habitat groups'!T149</f>
        <v>0</v>
      </c>
      <c r="E122" s="464">
        <f>'G-2 Habitat groups'!AA149</f>
        <v>0</v>
      </c>
      <c r="F122" s="464">
        <f>'G-2 Habitat groups'!AB149</f>
        <v>0</v>
      </c>
      <c r="G122" s="464">
        <f t="shared" si="15"/>
        <v>0</v>
      </c>
      <c r="H122" s="464">
        <f t="shared" si="16"/>
        <v>0</v>
      </c>
    </row>
    <row r="123" spans="1:8" ht="15.75" x14ac:dyDescent="0.2">
      <c r="A123" s="797"/>
      <c r="B123" s="329" t="s">
        <v>117</v>
      </c>
      <c r="C123" s="464">
        <f>'G-2 Habitat groups'!S150</f>
        <v>0</v>
      </c>
      <c r="D123" s="464">
        <f>'G-2 Habitat groups'!T150</f>
        <v>0</v>
      </c>
      <c r="E123" s="464">
        <f>'G-2 Habitat groups'!AA150</f>
        <v>0</v>
      </c>
      <c r="F123" s="464">
        <f>'G-2 Habitat groups'!AB150</f>
        <v>0</v>
      </c>
      <c r="G123" s="464">
        <f t="shared" si="15"/>
        <v>0</v>
      </c>
      <c r="H123" s="464">
        <f t="shared" si="16"/>
        <v>0</v>
      </c>
    </row>
    <row r="124" spans="1:8" ht="15.75" x14ac:dyDescent="0.2">
      <c r="A124" s="797"/>
      <c r="B124" s="329" t="s">
        <v>118</v>
      </c>
      <c r="C124" s="464">
        <f>'G-2 Habitat groups'!S151</f>
        <v>0</v>
      </c>
      <c r="D124" s="464">
        <f>'G-2 Habitat groups'!T151</f>
        <v>0</v>
      </c>
      <c r="E124" s="464">
        <f>'G-2 Habitat groups'!AA151</f>
        <v>0</v>
      </c>
      <c r="F124" s="464">
        <f>'G-2 Habitat groups'!AB151</f>
        <v>0</v>
      </c>
      <c r="G124" s="464">
        <f t="shared" si="15"/>
        <v>0</v>
      </c>
      <c r="H124" s="464">
        <f t="shared" si="16"/>
        <v>0</v>
      </c>
    </row>
    <row r="125" spans="1:8" ht="15.75" x14ac:dyDescent="0.2">
      <c r="A125" s="797"/>
      <c r="B125" s="329" t="s">
        <v>119</v>
      </c>
      <c r="C125" s="464">
        <f>'G-2 Habitat groups'!S152</f>
        <v>0</v>
      </c>
      <c r="D125" s="464">
        <f>'G-2 Habitat groups'!T152</f>
        <v>0</v>
      </c>
      <c r="E125" s="464">
        <f>'G-2 Habitat groups'!AA152</f>
        <v>0</v>
      </c>
      <c r="F125" s="464">
        <f>'G-2 Habitat groups'!AB152</f>
        <v>0</v>
      </c>
      <c r="G125" s="464">
        <f t="shared" si="15"/>
        <v>0</v>
      </c>
      <c r="H125" s="464">
        <f t="shared" si="16"/>
        <v>0</v>
      </c>
    </row>
    <row r="126" spans="1:8" ht="15.75" x14ac:dyDescent="0.2">
      <c r="A126" s="797"/>
      <c r="B126" s="330" t="s">
        <v>120</v>
      </c>
      <c r="C126" s="464">
        <f>'G-2 Habitat groups'!S153</f>
        <v>0</v>
      </c>
      <c r="D126" s="464">
        <f>'G-2 Habitat groups'!T153</f>
        <v>0</v>
      </c>
      <c r="E126" s="464">
        <f>'G-2 Habitat groups'!AA153</f>
        <v>0</v>
      </c>
      <c r="F126" s="464">
        <f>'G-2 Habitat groups'!AB153</f>
        <v>0</v>
      </c>
      <c r="G126" s="464">
        <f t="shared" si="15"/>
        <v>0</v>
      </c>
      <c r="H126" s="464">
        <f t="shared" si="16"/>
        <v>0</v>
      </c>
    </row>
    <row r="127" spans="1:8" ht="15.75" x14ac:dyDescent="0.2">
      <c r="A127" s="797"/>
      <c r="B127" s="331" t="s">
        <v>121</v>
      </c>
      <c r="C127" s="464">
        <f>'G-2 Habitat groups'!S154</f>
        <v>0</v>
      </c>
      <c r="D127" s="464">
        <f>'G-2 Habitat groups'!T154</f>
        <v>0</v>
      </c>
      <c r="E127" s="464">
        <f>'G-2 Habitat groups'!AA154</f>
        <v>0</v>
      </c>
      <c r="F127" s="464">
        <f>'G-2 Habitat groups'!AB154</f>
        <v>0</v>
      </c>
      <c r="G127" s="464">
        <f t="shared" si="15"/>
        <v>0</v>
      </c>
      <c r="H127" s="464">
        <f t="shared" si="16"/>
        <v>0</v>
      </c>
    </row>
    <row r="128" spans="1:8" ht="15.75" x14ac:dyDescent="0.2">
      <c r="A128" s="797"/>
      <c r="B128" s="331" t="s">
        <v>122</v>
      </c>
      <c r="C128" s="464">
        <f>'G-2 Habitat groups'!S155</f>
        <v>0</v>
      </c>
      <c r="D128" s="464">
        <f>'G-2 Habitat groups'!T155</f>
        <v>0</v>
      </c>
      <c r="E128" s="464">
        <f>'G-2 Habitat groups'!AA155</f>
        <v>0</v>
      </c>
      <c r="F128" s="464">
        <f>'G-2 Habitat groups'!AB155</f>
        <v>0</v>
      </c>
      <c r="G128" s="464">
        <f t="shared" si="15"/>
        <v>0</v>
      </c>
      <c r="H128" s="464">
        <f t="shared" si="16"/>
        <v>0</v>
      </c>
    </row>
    <row r="129" spans="1:8" ht="15.75" x14ac:dyDescent="0.2">
      <c r="A129" s="797"/>
      <c r="B129" s="331" t="s">
        <v>123</v>
      </c>
      <c r="C129" s="464">
        <f>'G-2 Habitat groups'!S156</f>
        <v>0</v>
      </c>
      <c r="D129" s="464">
        <f>'G-2 Habitat groups'!T156</f>
        <v>0</v>
      </c>
      <c r="E129" s="464">
        <f>'G-2 Habitat groups'!AA156</f>
        <v>0</v>
      </c>
      <c r="F129" s="464">
        <f>'G-2 Habitat groups'!AB156</f>
        <v>0</v>
      </c>
      <c r="G129" s="464">
        <f t="shared" si="15"/>
        <v>0</v>
      </c>
      <c r="H129" s="464">
        <f t="shared" si="16"/>
        <v>0</v>
      </c>
    </row>
    <row r="130" spans="1:8" ht="15.75" x14ac:dyDescent="0.2">
      <c r="A130" s="797"/>
      <c r="B130" s="331" t="s">
        <v>136</v>
      </c>
      <c r="C130" s="464">
        <f>'G-2 Habitat groups'!S157</f>
        <v>0</v>
      </c>
      <c r="D130" s="464">
        <f>'G-2 Habitat groups'!T157</f>
        <v>0</v>
      </c>
      <c r="E130" s="464">
        <f>'G-2 Habitat groups'!AA157</f>
        <v>0</v>
      </c>
      <c r="F130" s="464">
        <f>'G-2 Habitat groups'!AB157</f>
        <v>0</v>
      </c>
      <c r="G130" s="464">
        <f t="shared" si="15"/>
        <v>0</v>
      </c>
      <c r="H130" s="464">
        <f t="shared" si="16"/>
        <v>0</v>
      </c>
    </row>
    <row r="131" spans="1:8" ht="15.75" x14ac:dyDescent="0.2">
      <c r="A131" s="797"/>
      <c r="B131" s="331" t="s">
        <v>125</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2">
      <c r="A132" s="797"/>
      <c r="B132" s="40"/>
      <c r="C132" s="40"/>
    </row>
    <row r="133" spans="1:8" x14ac:dyDescent="0.2">
      <c r="A133" s="797"/>
      <c r="B133" s="40"/>
      <c r="C133" s="40"/>
    </row>
    <row r="134" spans="1:8" x14ac:dyDescent="0.2">
      <c r="A134" s="797"/>
      <c r="B134" s="40"/>
      <c r="C134" s="40"/>
    </row>
    <row r="135" spans="1:8" ht="15" thickBot="1" x14ac:dyDescent="0.25">
      <c r="A135" s="797"/>
      <c r="B135" s="40"/>
      <c r="C135" s="40"/>
    </row>
    <row r="136" spans="1:8" ht="18.75" thickBot="1" x14ac:dyDescent="0.3">
      <c r="A136" s="797"/>
      <c r="B136" s="805" t="s">
        <v>137</v>
      </c>
      <c r="C136" s="805"/>
      <c r="D136" s="805"/>
      <c r="E136" s="805"/>
      <c r="F136" s="805"/>
      <c r="G136" s="805"/>
      <c r="H136" s="805"/>
    </row>
    <row r="137" spans="1:8" ht="16.5" thickBot="1" x14ac:dyDescent="0.25">
      <c r="A137" s="797"/>
      <c r="B137" s="35"/>
      <c r="C137" s="788" t="s">
        <v>62</v>
      </c>
      <c r="D137" s="788"/>
      <c r="E137" s="788" t="s">
        <v>63</v>
      </c>
      <c r="F137" s="788"/>
      <c r="G137" s="788" t="s">
        <v>64</v>
      </c>
      <c r="H137" s="788"/>
    </row>
    <row r="138" spans="1:8" ht="32.25" thickBot="1" x14ac:dyDescent="0.25">
      <c r="A138" s="797"/>
      <c r="B138" s="323" t="s">
        <v>105</v>
      </c>
      <c r="C138" s="35" t="s">
        <v>138</v>
      </c>
      <c r="D138" s="35" t="s">
        <v>67</v>
      </c>
      <c r="E138" s="35" t="s">
        <v>139</v>
      </c>
      <c r="F138" s="35" t="s">
        <v>69</v>
      </c>
      <c r="G138" s="35" t="s">
        <v>140</v>
      </c>
      <c r="H138" s="35" t="s">
        <v>71</v>
      </c>
    </row>
    <row r="139" spans="1:8" ht="31.5" x14ac:dyDescent="0.2">
      <c r="A139" s="797"/>
      <c r="B139" s="335" t="s">
        <v>113</v>
      </c>
      <c r="C139" s="466">
        <f>C99+C119</f>
        <v>0</v>
      </c>
      <c r="D139" s="466">
        <f t="shared" ref="D139:H139" si="17">D99+D119</f>
        <v>0</v>
      </c>
      <c r="E139" s="466">
        <f t="shared" si="17"/>
        <v>0</v>
      </c>
      <c r="F139" s="466">
        <f t="shared" si="17"/>
        <v>0</v>
      </c>
      <c r="G139" s="466">
        <f>G99+G119</f>
        <v>0</v>
      </c>
      <c r="H139" s="466">
        <f t="shared" si="17"/>
        <v>0</v>
      </c>
    </row>
    <row r="140" spans="1:8" ht="15.75" x14ac:dyDescent="0.2">
      <c r="A140" s="797"/>
      <c r="B140" s="336" t="s">
        <v>114</v>
      </c>
      <c r="C140" s="466">
        <f t="shared" ref="C140:H140" si="18">C100+C120</f>
        <v>0</v>
      </c>
      <c r="D140" s="466">
        <f t="shared" si="18"/>
        <v>0</v>
      </c>
      <c r="E140" s="466">
        <f t="shared" si="18"/>
        <v>0.80600000000000005</v>
      </c>
      <c r="F140" s="466">
        <f t="shared" si="18"/>
        <v>8.1818526552867006</v>
      </c>
      <c r="G140" s="466">
        <f t="shared" si="18"/>
        <v>0.80600000000000005</v>
      </c>
      <c r="H140" s="466">
        <f t="shared" si="18"/>
        <v>8.1818526552867006</v>
      </c>
    </row>
    <row r="141" spans="1:8" ht="15.75" x14ac:dyDescent="0.2">
      <c r="A141" s="797"/>
      <c r="B141" s="336" t="s">
        <v>115</v>
      </c>
      <c r="C141" s="466">
        <f>C101+C121</f>
        <v>0</v>
      </c>
      <c r="D141" s="466">
        <f t="shared" ref="D141:H141" si="19">D101+D121</f>
        <v>0</v>
      </c>
      <c r="E141" s="466">
        <f t="shared" si="19"/>
        <v>0</v>
      </c>
      <c r="F141" s="466">
        <f t="shared" si="19"/>
        <v>0</v>
      </c>
      <c r="G141" s="466">
        <f t="shared" si="19"/>
        <v>0</v>
      </c>
      <c r="H141" s="466">
        <f t="shared" si="19"/>
        <v>0</v>
      </c>
    </row>
    <row r="142" spans="1:8" ht="15.75" x14ac:dyDescent="0.2">
      <c r="A142" s="797"/>
      <c r="B142" s="336" t="s">
        <v>116</v>
      </c>
      <c r="C142" s="466">
        <f t="shared" ref="C142:H142" si="20">C102+C122</f>
        <v>0</v>
      </c>
      <c r="D142" s="466">
        <f t="shared" si="20"/>
        <v>0</v>
      </c>
      <c r="E142" s="466">
        <f t="shared" si="20"/>
        <v>0</v>
      </c>
      <c r="F142" s="466">
        <f t="shared" si="20"/>
        <v>0</v>
      </c>
      <c r="G142" s="466">
        <f t="shared" si="20"/>
        <v>0</v>
      </c>
      <c r="H142" s="466">
        <f t="shared" si="20"/>
        <v>0</v>
      </c>
    </row>
    <row r="143" spans="1:8" ht="15.75" x14ac:dyDescent="0.2">
      <c r="A143" s="797"/>
      <c r="B143" s="336" t="s">
        <v>117</v>
      </c>
      <c r="C143" s="466">
        <f t="shared" ref="C143:H143" si="21">C103+C123</f>
        <v>0.12</v>
      </c>
      <c r="D143" s="466">
        <f t="shared" si="21"/>
        <v>1.6559999999999999</v>
      </c>
      <c r="E143" s="466">
        <f t="shared" si="21"/>
        <v>0.245</v>
      </c>
      <c r="F143" s="466">
        <f t="shared" si="21"/>
        <v>2.7809076222074998</v>
      </c>
      <c r="G143" s="466">
        <f t="shared" si="21"/>
        <v>0.125</v>
      </c>
      <c r="H143" s="466">
        <f t="shared" si="21"/>
        <v>1.1249076222074998</v>
      </c>
    </row>
    <row r="144" spans="1:8" ht="15.75" x14ac:dyDescent="0.2">
      <c r="A144" s="797"/>
      <c r="B144" s="336" t="s">
        <v>118</v>
      </c>
      <c r="C144" s="466">
        <f t="shared" ref="C144:H144" si="22">C104+C124</f>
        <v>0</v>
      </c>
      <c r="D144" s="466">
        <f t="shared" si="22"/>
        <v>0</v>
      </c>
      <c r="E144" s="466">
        <f t="shared" si="22"/>
        <v>0</v>
      </c>
      <c r="F144" s="466">
        <f t="shared" si="22"/>
        <v>0</v>
      </c>
      <c r="G144" s="466">
        <f t="shared" si="22"/>
        <v>0</v>
      </c>
      <c r="H144" s="466">
        <f t="shared" si="22"/>
        <v>0</v>
      </c>
    </row>
    <row r="145" spans="1:12" ht="15.75" x14ac:dyDescent="0.2">
      <c r="A145" s="797"/>
      <c r="B145" s="336" t="s">
        <v>119</v>
      </c>
      <c r="C145" s="466">
        <f t="shared" ref="C145:H145" si="23">C105+C125</f>
        <v>0.61499999999999999</v>
      </c>
      <c r="D145" s="466">
        <f t="shared" si="23"/>
        <v>7.7417999999999996</v>
      </c>
      <c r="E145" s="466">
        <f t="shared" si="23"/>
        <v>3.4369999999999998</v>
      </c>
      <c r="F145" s="466">
        <f t="shared" ca="1" si="23"/>
        <v>39.080093827447314</v>
      </c>
      <c r="G145" s="466">
        <f t="shared" si="23"/>
        <v>2.8220000000000001</v>
      </c>
      <c r="H145" s="466">
        <f t="shared" ca="1" si="23"/>
        <v>31.338293827447316</v>
      </c>
    </row>
    <row r="146" spans="1:12" ht="15.75" x14ac:dyDescent="0.2">
      <c r="A146" s="797"/>
      <c r="B146" s="336" t="s">
        <v>120</v>
      </c>
      <c r="C146" s="466">
        <f t="shared" ref="C146:H146" si="24">C106+C126</f>
        <v>0</v>
      </c>
      <c r="D146" s="466">
        <f t="shared" si="24"/>
        <v>0</v>
      </c>
      <c r="E146" s="466">
        <f t="shared" si="24"/>
        <v>0</v>
      </c>
      <c r="F146" s="466">
        <f t="shared" si="24"/>
        <v>0</v>
      </c>
      <c r="G146" s="466">
        <f t="shared" si="24"/>
        <v>0</v>
      </c>
      <c r="H146" s="466">
        <f t="shared" si="24"/>
        <v>0</v>
      </c>
    </row>
    <row r="147" spans="1:12" ht="15.75" x14ac:dyDescent="0.2">
      <c r="A147" s="797"/>
      <c r="B147" s="331" t="s">
        <v>121</v>
      </c>
      <c r="C147" s="466">
        <f t="shared" ref="C147:H147" si="25">C107+C127</f>
        <v>0</v>
      </c>
      <c r="D147" s="466">
        <f t="shared" si="25"/>
        <v>0</v>
      </c>
      <c r="E147" s="466">
        <f t="shared" si="25"/>
        <v>0</v>
      </c>
      <c r="F147" s="466">
        <f t="shared" si="25"/>
        <v>0</v>
      </c>
      <c r="G147" s="466">
        <f t="shared" si="25"/>
        <v>0</v>
      </c>
      <c r="H147" s="466">
        <f t="shared" si="25"/>
        <v>0</v>
      </c>
    </row>
    <row r="148" spans="1:12" ht="15.75" x14ac:dyDescent="0.2">
      <c r="A148" s="797"/>
      <c r="B148" s="331" t="s">
        <v>122</v>
      </c>
      <c r="C148" s="466">
        <f t="shared" ref="C148:H148" si="26">C108+C128</f>
        <v>3.9550000000000001</v>
      </c>
      <c r="D148" s="466">
        <f t="shared" si="26"/>
        <v>15.248999999999997</v>
      </c>
      <c r="E148" s="466">
        <f t="shared" si="26"/>
        <v>1.133</v>
      </c>
      <c r="F148" s="466">
        <f t="shared" ca="1" si="26"/>
        <v>5.3803398539625</v>
      </c>
      <c r="G148" s="466">
        <f t="shared" si="26"/>
        <v>-2.8220000000000001</v>
      </c>
      <c r="H148" s="466">
        <f t="shared" ca="1" si="26"/>
        <v>-9.868660146037497</v>
      </c>
    </row>
    <row r="149" spans="1:12" ht="15.75" x14ac:dyDescent="0.2">
      <c r="A149" s="797"/>
      <c r="B149" s="331" t="s">
        <v>123</v>
      </c>
      <c r="C149" s="466">
        <f t="shared" ref="C149:H149" si="27">C109+C129</f>
        <v>0.63</v>
      </c>
      <c r="D149" s="466">
        <f t="shared" si="27"/>
        <v>2.0998999999999999</v>
      </c>
      <c r="E149" s="466">
        <f t="shared" si="27"/>
        <v>5.1999999999999998E-2</v>
      </c>
      <c r="F149" s="466">
        <f t="shared" si="27"/>
        <v>0.35879999999999995</v>
      </c>
      <c r="G149" s="466">
        <f t="shared" si="27"/>
        <v>-0.57799999999999996</v>
      </c>
      <c r="H149" s="466">
        <f t="shared" si="27"/>
        <v>-1.7410999999999999</v>
      </c>
    </row>
    <row r="150" spans="1:12" ht="15.75" x14ac:dyDescent="0.2">
      <c r="A150" s="797"/>
      <c r="B150" s="331" t="s">
        <v>136</v>
      </c>
      <c r="C150" s="466">
        <f t="shared" ref="C150:H150" si="28">C110+C130</f>
        <v>0</v>
      </c>
      <c r="D150" s="466">
        <f t="shared" si="28"/>
        <v>0</v>
      </c>
      <c r="E150" s="466">
        <f t="shared" si="28"/>
        <v>0</v>
      </c>
      <c r="F150" s="466">
        <f t="shared" si="28"/>
        <v>0</v>
      </c>
      <c r="G150" s="466">
        <f t="shared" si="28"/>
        <v>0</v>
      </c>
      <c r="H150" s="466">
        <f t="shared" si="28"/>
        <v>0</v>
      </c>
    </row>
    <row r="151" spans="1:12" ht="15.75" x14ac:dyDescent="0.2">
      <c r="A151" s="797"/>
      <c r="B151" s="331" t="s">
        <v>125</v>
      </c>
      <c r="C151" s="466">
        <f t="shared" ref="C151:H151" si="29">C111+C131</f>
        <v>0</v>
      </c>
      <c r="D151" s="466">
        <f t="shared" si="29"/>
        <v>0</v>
      </c>
      <c r="E151" s="466">
        <f t="shared" si="29"/>
        <v>0</v>
      </c>
      <c r="F151" s="466">
        <f t="shared" si="29"/>
        <v>0</v>
      </c>
      <c r="G151" s="466">
        <f t="shared" si="29"/>
        <v>0</v>
      </c>
      <c r="H151" s="466">
        <f t="shared" si="29"/>
        <v>0</v>
      </c>
    </row>
    <row r="152" spans="1:12" x14ac:dyDescent="0.2">
      <c r="A152" s="797"/>
    </row>
    <row r="153" spans="1:12" ht="15" thickBot="1" x14ac:dyDescent="0.25">
      <c r="A153" s="798"/>
    </row>
    <row r="154" spans="1:12" s="333" customFormat="1" ht="31.9" customHeight="1" thickTop="1" x14ac:dyDescent="0.2">
      <c r="A154" s="799" t="s">
        <v>141</v>
      </c>
    </row>
    <row r="155" spans="1:12" ht="15" thickBot="1" x14ac:dyDescent="0.25">
      <c r="A155" s="800"/>
    </row>
    <row r="156" spans="1:12" ht="26.25" thickBot="1" x14ac:dyDescent="0.4">
      <c r="A156" s="800"/>
      <c r="B156" s="825" t="s">
        <v>142</v>
      </c>
      <c r="C156" s="826"/>
      <c r="D156" s="827"/>
    </row>
    <row r="157" spans="1:12" x14ac:dyDescent="0.2">
      <c r="A157" s="800"/>
    </row>
    <row r="158" spans="1:12" ht="15" thickBot="1" x14ac:dyDescent="0.25">
      <c r="A158" s="800"/>
    </row>
    <row r="159" spans="1:12" ht="18.75" thickBot="1" x14ac:dyDescent="0.3">
      <c r="A159" s="800"/>
      <c r="B159" s="805" t="s">
        <v>143</v>
      </c>
      <c r="C159" s="805"/>
      <c r="D159" s="805"/>
      <c r="E159" s="805"/>
      <c r="F159" s="805"/>
      <c r="G159" s="805"/>
      <c r="H159" s="805"/>
      <c r="J159" s="809" t="s">
        <v>104</v>
      </c>
      <c r="K159" s="810"/>
      <c r="L159" s="811"/>
    </row>
    <row r="160" spans="1:12" ht="16.5" thickBot="1" x14ac:dyDescent="0.25">
      <c r="A160" s="800"/>
      <c r="B160" s="35"/>
      <c r="C160" s="788" t="s">
        <v>62</v>
      </c>
      <c r="D160" s="788"/>
      <c r="E160" s="788" t="s">
        <v>63</v>
      </c>
      <c r="F160" s="788"/>
      <c r="G160" s="788" t="s">
        <v>64</v>
      </c>
      <c r="H160" s="788"/>
      <c r="J160" s="812"/>
      <c r="K160" s="813"/>
      <c r="L160" s="814"/>
    </row>
    <row r="161" spans="1:12" ht="32.25" thickBot="1" x14ac:dyDescent="0.25">
      <c r="A161" s="800"/>
      <c r="B161" s="323" t="s">
        <v>144</v>
      </c>
      <c r="C161" s="35" t="s">
        <v>138</v>
      </c>
      <c r="D161" s="35" t="s">
        <v>67</v>
      </c>
      <c r="E161" s="35" t="s">
        <v>139</v>
      </c>
      <c r="F161" s="35" t="s">
        <v>69</v>
      </c>
      <c r="G161" s="35" t="s">
        <v>140</v>
      </c>
      <c r="H161" s="35" t="s">
        <v>71</v>
      </c>
      <c r="J161" s="815" t="s">
        <v>72</v>
      </c>
      <c r="K161" s="817" t="s">
        <v>111</v>
      </c>
      <c r="L161" s="819" t="s">
        <v>112</v>
      </c>
    </row>
    <row r="162" spans="1:12" ht="15.75" x14ac:dyDescent="0.2">
      <c r="A162" s="800"/>
      <c r="B162" s="328" t="s">
        <v>145</v>
      </c>
      <c r="C162" s="471">
        <f>'G-2 Habitat groups'!E168</f>
        <v>0</v>
      </c>
      <c r="D162" s="471">
        <f>'G-2 Habitat groups'!F168</f>
        <v>0</v>
      </c>
      <c r="E162" s="471">
        <f>'G-2 Habitat groups'!O168</f>
        <v>0</v>
      </c>
      <c r="F162" s="471">
        <f>'G-2 Habitat groups'!P168</f>
        <v>0</v>
      </c>
      <c r="G162" s="471">
        <f>E162-C162</f>
        <v>0</v>
      </c>
      <c r="H162" s="471">
        <f t="shared" ref="H162" si="30">F162-D162</f>
        <v>0</v>
      </c>
      <c r="J162" s="816"/>
      <c r="K162" s="818"/>
      <c r="L162" s="820"/>
    </row>
    <row r="163" spans="1:12" ht="15.75" x14ac:dyDescent="0.2">
      <c r="A163" s="800"/>
      <c r="B163" s="329" t="s">
        <v>146</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801" t="str">
        <f>'G-1 All Habitats'!$V$3</f>
        <v>V.High</v>
      </c>
      <c r="K163" s="803">
        <f>SUMIF('C-1 Site River Baseline'!$F$10:$F$257,'Detailed Results'!J163,'C-1 Site River Baseline'!$X$10:$X$257)+SUMIF('F-1 Off Site River Baseline'!$F$10:$F$257,'Detailed Results'!J163,'F-1 Off Site River Baseline'!$X$10:$X$257)</f>
        <v>0</v>
      </c>
      <c r="L163" s="807" t="str">
        <f>IF(K163=0,"",(K163/(SUM($K$163:$K$170)))*100)</f>
        <v/>
      </c>
    </row>
    <row r="164" spans="1:12" ht="15.75" x14ac:dyDescent="0.2">
      <c r="A164" s="800"/>
      <c r="B164" s="329" t="s">
        <v>147</v>
      </c>
      <c r="C164" s="471">
        <f>'G-2 Habitat groups'!E170</f>
        <v>0</v>
      </c>
      <c r="D164" s="471">
        <f>'G-2 Habitat groups'!F170</f>
        <v>0</v>
      </c>
      <c r="E164" s="471">
        <f>'G-2 Habitat groups'!O170</f>
        <v>0</v>
      </c>
      <c r="F164" s="471">
        <f>'G-2 Habitat groups'!P170</f>
        <v>0</v>
      </c>
      <c r="G164" s="471">
        <f t="shared" si="31"/>
        <v>0</v>
      </c>
      <c r="H164" s="471">
        <f t="shared" si="32"/>
        <v>0</v>
      </c>
      <c r="J164" s="802"/>
      <c r="K164" s="804"/>
      <c r="L164" s="808"/>
    </row>
    <row r="165" spans="1:12" ht="15.75" x14ac:dyDescent="0.2">
      <c r="A165" s="800"/>
      <c r="B165" s="329" t="s">
        <v>148</v>
      </c>
      <c r="C165" s="471">
        <f>'G-2 Habitat groups'!E171</f>
        <v>0</v>
      </c>
      <c r="D165" s="471">
        <f>'G-2 Habitat groups'!F171</f>
        <v>0</v>
      </c>
      <c r="E165" s="471">
        <f>'G-2 Habitat groups'!O171</f>
        <v>0</v>
      </c>
      <c r="F165" s="471">
        <f>'G-2 Habitat groups'!P171</f>
        <v>0</v>
      </c>
      <c r="G165" s="471">
        <f t="shared" si="31"/>
        <v>0</v>
      </c>
      <c r="H165" s="471">
        <f t="shared" si="32"/>
        <v>0</v>
      </c>
      <c r="J165" s="801" t="str">
        <f>'G-1 All Habitats'!$V$4</f>
        <v>High</v>
      </c>
      <c r="K165" s="803">
        <f>SUMIF('C-1 Site River Baseline'!$F$10:$F$257,'Detailed Results'!J165,'C-1 Site River Baseline'!$X$10:$X$257)+SUMIF('F-1 Off Site River Baseline'!$F$10:$F$257,'Detailed Results'!J165,'F-1 Off Site River Baseline'!$X$10:$X$257)</f>
        <v>0</v>
      </c>
      <c r="L165" s="807" t="str">
        <f t="shared" ref="L165" si="33">IF(K165=0,"",(K165/(SUM($K$163:$K$170)))*100)</f>
        <v/>
      </c>
    </row>
    <row r="166" spans="1:12" ht="15.75" x14ac:dyDescent="0.2">
      <c r="A166" s="800"/>
      <c r="B166" s="329" t="s">
        <v>149</v>
      </c>
      <c r="C166" s="471">
        <f>'G-2 Habitat groups'!E172</f>
        <v>0</v>
      </c>
      <c r="D166" s="471">
        <f>'G-2 Habitat groups'!F172</f>
        <v>0</v>
      </c>
      <c r="E166" s="471">
        <f>'G-2 Habitat groups'!O172</f>
        <v>0</v>
      </c>
      <c r="F166" s="471">
        <f>'G-2 Habitat groups'!P172</f>
        <v>0</v>
      </c>
      <c r="G166" s="471">
        <f t="shared" si="31"/>
        <v>0</v>
      </c>
      <c r="H166" s="471">
        <f t="shared" si="32"/>
        <v>0</v>
      </c>
      <c r="J166" s="802"/>
      <c r="K166" s="804"/>
      <c r="L166" s="808"/>
    </row>
    <row r="167" spans="1:12" x14ac:dyDescent="0.2">
      <c r="A167" s="800"/>
      <c r="J167" s="801" t="str">
        <f>'G-1 All Habitats'!$V$5</f>
        <v>Medium</v>
      </c>
      <c r="K167" s="803">
        <f>SUMIF('C-1 Site River Baseline'!$F$10:$F$257,'Detailed Results'!J167,'C-1 Site River Baseline'!$X$10:$X$257)+SUMIF('F-1 Off Site River Baseline'!$F$10:$F$257,'Detailed Results'!J167,'F-1 Off Site River Baseline'!$X$10:$X$257)</f>
        <v>0</v>
      </c>
      <c r="L167" s="807" t="str">
        <f t="shared" ref="L167" si="34">IF(K167=0,"",(K167/(SUM($K$163:$K$170)))*100)</f>
        <v/>
      </c>
    </row>
    <row r="168" spans="1:12" x14ac:dyDescent="0.2">
      <c r="A168" s="800"/>
      <c r="J168" s="802"/>
      <c r="K168" s="804"/>
      <c r="L168" s="808"/>
    </row>
    <row r="169" spans="1:12" x14ac:dyDescent="0.2">
      <c r="A169" s="800"/>
      <c r="J169" s="801" t="str">
        <f>'G-1 All Habitats'!$V$6</f>
        <v>Low</v>
      </c>
      <c r="K169" s="803">
        <f>SUMIF('C-1 Site River Baseline'!$F$10:$F$257,'Detailed Results'!J169,'C-1 Site River Baseline'!$X$10:$X$257)+SUMIF('F-1 Off Site River Baseline'!$F$10:$F$257,'Detailed Results'!J169,'F-1 Off Site River Baseline'!$X$10:$X$257)</f>
        <v>0</v>
      </c>
      <c r="L169" s="807" t="str">
        <f t="shared" ref="L169" si="35">IF(K169=0,"",(K169/(SUM($K$163:$K$170)))*100)</f>
        <v/>
      </c>
    </row>
    <row r="170" spans="1:12" x14ac:dyDescent="0.2">
      <c r="A170" s="800"/>
      <c r="J170" s="802"/>
      <c r="K170" s="804"/>
      <c r="L170" s="808"/>
    </row>
    <row r="171" spans="1:12" x14ac:dyDescent="0.2">
      <c r="A171" s="800"/>
    </row>
    <row r="172" spans="1:12" x14ac:dyDescent="0.2">
      <c r="A172" s="800"/>
    </row>
    <row r="173" spans="1:12" x14ac:dyDescent="0.2">
      <c r="A173" s="800"/>
    </row>
    <row r="174" spans="1:12" x14ac:dyDescent="0.2">
      <c r="A174" s="800"/>
    </row>
    <row r="175" spans="1:12" x14ac:dyDescent="0.2">
      <c r="A175" s="800"/>
    </row>
    <row r="176" spans="1:12" x14ac:dyDescent="0.2">
      <c r="A176" s="800"/>
    </row>
    <row r="177" spans="1:8" x14ac:dyDescent="0.2">
      <c r="A177" s="800"/>
    </row>
    <row r="178" spans="1:8" ht="15" thickBot="1" x14ac:dyDescent="0.25">
      <c r="A178" s="800"/>
    </row>
    <row r="179" spans="1:8" ht="18.75" thickBot="1" x14ac:dyDescent="0.3">
      <c r="A179" s="800"/>
      <c r="B179" s="805" t="s">
        <v>150</v>
      </c>
      <c r="C179" s="805"/>
      <c r="D179" s="805"/>
      <c r="E179" s="805"/>
      <c r="F179" s="805"/>
      <c r="G179" s="805"/>
      <c r="H179" s="805"/>
    </row>
    <row r="180" spans="1:8" ht="16.5" thickBot="1" x14ac:dyDescent="0.25">
      <c r="A180" s="800"/>
      <c r="B180" s="35"/>
      <c r="C180" s="788" t="s">
        <v>62</v>
      </c>
      <c r="D180" s="788"/>
      <c r="E180" s="788" t="s">
        <v>151</v>
      </c>
      <c r="F180" s="788"/>
      <c r="G180" s="788" t="s">
        <v>90</v>
      </c>
      <c r="H180" s="788"/>
    </row>
    <row r="181" spans="1:8" ht="48" thickBot="1" x14ac:dyDescent="0.25">
      <c r="A181" s="800"/>
      <c r="B181" s="323" t="s">
        <v>144</v>
      </c>
      <c r="C181" s="35" t="s">
        <v>130</v>
      </c>
      <c r="D181" s="35" t="s">
        <v>131</v>
      </c>
      <c r="E181" s="35" t="s">
        <v>132</v>
      </c>
      <c r="F181" s="35" t="s">
        <v>133</v>
      </c>
      <c r="G181" s="35" t="s">
        <v>134</v>
      </c>
      <c r="H181" s="35" t="s">
        <v>95</v>
      </c>
    </row>
    <row r="182" spans="1:8" ht="15.75" x14ac:dyDescent="0.2">
      <c r="A182" s="800"/>
      <c r="B182" s="328" t="s">
        <v>145</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75" x14ac:dyDescent="0.2">
      <c r="A183" s="800"/>
      <c r="B183" s="329" t="s">
        <v>146</v>
      </c>
      <c r="C183" s="471">
        <f>'G-2 Habitat groups'!S169</f>
        <v>0</v>
      </c>
      <c r="D183" s="471">
        <f>'G-2 Habitat groups'!T169</f>
        <v>0</v>
      </c>
      <c r="E183" s="471">
        <f>'G-2 Habitat groups'!AA169</f>
        <v>0</v>
      </c>
      <c r="F183" s="471">
        <f>'G-2 Habitat groups'!AB210</f>
        <v>0</v>
      </c>
      <c r="G183" s="471">
        <f t="shared" si="36"/>
        <v>0</v>
      </c>
      <c r="H183" s="471">
        <f t="shared" si="37"/>
        <v>0</v>
      </c>
    </row>
    <row r="184" spans="1:8" ht="15.75" x14ac:dyDescent="0.2">
      <c r="A184" s="800"/>
      <c r="B184" s="329" t="s">
        <v>147</v>
      </c>
      <c r="C184" s="471">
        <f>'G-2 Habitat groups'!S170</f>
        <v>0</v>
      </c>
      <c r="D184" s="471">
        <f>'G-2 Habitat groups'!T170</f>
        <v>0</v>
      </c>
      <c r="E184" s="471">
        <f>'G-2 Habitat groups'!AA170</f>
        <v>0</v>
      </c>
      <c r="F184" s="471">
        <f>'G-2 Habitat groups'!AB211</f>
        <v>0</v>
      </c>
      <c r="G184" s="471">
        <f t="shared" si="36"/>
        <v>0</v>
      </c>
      <c r="H184" s="471">
        <f t="shared" si="37"/>
        <v>0</v>
      </c>
    </row>
    <row r="185" spans="1:8" ht="15.75" x14ac:dyDescent="0.2">
      <c r="A185" s="800"/>
      <c r="B185" s="329" t="s">
        <v>148</v>
      </c>
      <c r="C185" s="471">
        <f>'G-2 Habitat groups'!S171</f>
        <v>0</v>
      </c>
      <c r="D185" s="471">
        <f>'G-2 Habitat groups'!T171</f>
        <v>0</v>
      </c>
      <c r="E185" s="471">
        <f>'G-2 Habitat groups'!AA171</f>
        <v>0</v>
      </c>
      <c r="F185" s="471">
        <f>'G-2 Habitat groups'!AB212</f>
        <v>0</v>
      </c>
      <c r="G185" s="471">
        <f t="shared" si="36"/>
        <v>0</v>
      </c>
      <c r="H185" s="471">
        <f t="shared" si="37"/>
        <v>0</v>
      </c>
    </row>
    <row r="186" spans="1:8" ht="15.75" x14ac:dyDescent="0.2">
      <c r="A186" s="800"/>
      <c r="B186" s="329" t="s">
        <v>149</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2">
      <c r="A187" s="800"/>
      <c r="B187" s="40"/>
      <c r="C187" s="40"/>
      <c r="D187" s="40"/>
      <c r="E187" s="40"/>
      <c r="F187" s="40"/>
      <c r="G187" s="40"/>
      <c r="H187" s="40"/>
    </row>
    <row r="188" spans="1:8" x14ac:dyDescent="0.2">
      <c r="A188" s="800"/>
      <c r="B188" s="40"/>
      <c r="C188" s="40"/>
      <c r="D188" s="40"/>
      <c r="E188" s="40"/>
      <c r="F188" s="40"/>
      <c r="G188" s="40"/>
      <c r="H188" s="40"/>
    </row>
    <row r="189" spans="1:8" x14ac:dyDescent="0.2">
      <c r="A189" s="800"/>
      <c r="B189" s="40"/>
      <c r="C189" s="40"/>
      <c r="D189" s="40"/>
      <c r="E189" s="40"/>
      <c r="F189" s="40"/>
      <c r="G189" s="40"/>
      <c r="H189" s="40"/>
    </row>
    <row r="190" spans="1:8" x14ac:dyDescent="0.2">
      <c r="A190" s="800"/>
      <c r="B190" s="40"/>
      <c r="C190" s="40"/>
      <c r="D190" s="40"/>
      <c r="E190" s="40"/>
      <c r="F190" s="40"/>
      <c r="G190" s="40"/>
      <c r="H190" s="40"/>
    </row>
    <row r="191" spans="1:8" x14ac:dyDescent="0.2">
      <c r="A191" s="800"/>
      <c r="B191" s="40"/>
      <c r="C191" s="40"/>
      <c r="D191" s="40"/>
      <c r="E191" s="40"/>
      <c r="F191" s="40"/>
      <c r="G191" s="40"/>
      <c r="H191" s="40"/>
    </row>
    <row r="192" spans="1:8" x14ac:dyDescent="0.2">
      <c r="A192" s="800"/>
      <c r="B192" s="40"/>
      <c r="C192" s="40"/>
      <c r="D192" s="40"/>
      <c r="E192" s="40"/>
      <c r="F192" s="40"/>
      <c r="G192" s="40"/>
      <c r="H192" s="40"/>
    </row>
    <row r="193" spans="1:8" x14ac:dyDescent="0.2">
      <c r="A193" s="800"/>
      <c r="B193" s="40"/>
      <c r="C193" s="40"/>
      <c r="D193" s="40"/>
      <c r="E193" s="40"/>
      <c r="F193" s="40"/>
      <c r="G193" s="40"/>
      <c r="H193" s="40"/>
    </row>
    <row r="194" spans="1:8" x14ac:dyDescent="0.2">
      <c r="A194" s="800"/>
      <c r="B194" s="40"/>
      <c r="C194" s="40"/>
      <c r="D194" s="40"/>
      <c r="E194" s="40"/>
      <c r="F194" s="40"/>
      <c r="G194" s="40"/>
      <c r="H194" s="40"/>
    </row>
    <row r="195" spans="1:8" x14ac:dyDescent="0.2">
      <c r="A195" s="800"/>
      <c r="B195" s="40"/>
      <c r="C195" s="40"/>
    </row>
    <row r="196" spans="1:8" x14ac:dyDescent="0.2">
      <c r="A196" s="800"/>
      <c r="B196" s="40"/>
      <c r="C196" s="40"/>
    </row>
    <row r="197" spans="1:8" x14ac:dyDescent="0.2">
      <c r="A197" s="800"/>
      <c r="B197" s="40"/>
      <c r="C197" s="40"/>
    </row>
    <row r="198" spans="1:8" ht="15" thickBot="1" x14ac:dyDescent="0.25">
      <c r="A198" s="800"/>
      <c r="B198" s="40"/>
      <c r="C198" s="40"/>
    </row>
    <row r="199" spans="1:8" ht="18.75" thickBot="1" x14ac:dyDescent="0.3">
      <c r="A199" s="800"/>
      <c r="B199" s="805" t="s">
        <v>152</v>
      </c>
      <c r="C199" s="805"/>
      <c r="D199" s="805"/>
      <c r="E199" s="805"/>
      <c r="F199" s="805"/>
      <c r="G199" s="805"/>
      <c r="H199" s="805"/>
    </row>
    <row r="200" spans="1:8" ht="16.5" thickBot="1" x14ac:dyDescent="0.25">
      <c r="A200" s="800"/>
      <c r="B200" s="35"/>
      <c r="C200" s="788" t="s">
        <v>62</v>
      </c>
      <c r="D200" s="788"/>
      <c r="E200" s="788" t="s">
        <v>63</v>
      </c>
      <c r="F200" s="788"/>
      <c r="G200" s="788" t="s">
        <v>64</v>
      </c>
      <c r="H200" s="788"/>
    </row>
    <row r="201" spans="1:8" ht="32.25" thickBot="1" x14ac:dyDescent="0.25">
      <c r="A201" s="800"/>
      <c r="B201" s="323" t="s">
        <v>144</v>
      </c>
      <c r="C201" s="35" t="s">
        <v>138</v>
      </c>
      <c r="D201" s="35" t="s">
        <v>67</v>
      </c>
      <c r="E201" s="35" t="s">
        <v>139</v>
      </c>
      <c r="F201" s="35" t="s">
        <v>69</v>
      </c>
      <c r="G201" s="35" t="s">
        <v>140</v>
      </c>
      <c r="H201" s="35" t="s">
        <v>71</v>
      </c>
    </row>
    <row r="202" spans="1:8" ht="15.75" x14ac:dyDescent="0.2">
      <c r="A202" s="800"/>
      <c r="B202" s="328" t="s">
        <v>145</v>
      </c>
      <c r="C202" s="471">
        <f>C162+C182</f>
        <v>0</v>
      </c>
      <c r="D202" s="471">
        <f t="shared" ref="D202:H202" si="38">D162+D182</f>
        <v>0</v>
      </c>
      <c r="E202" s="471">
        <f t="shared" si="38"/>
        <v>0</v>
      </c>
      <c r="F202" s="471">
        <f t="shared" si="38"/>
        <v>0</v>
      </c>
      <c r="G202" s="471">
        <f t="shared" si="38"/>
        <v>0</v>
      </c>
      <c r="H202" s="471">
        <f t="shared" si="38"/>
        <v>0</v>
      </c>
    </row>
    <row r="203" spans="1:8" ht="15.75" x14ac:dyDescent="0.2">
      <c r="A203" s="800"/>
      <c r="B203" s="329" t="s">
        <v>146</v>
      </c>
      <c r="C203" s="471">
        <f>C163+C183</f>
        <v>0</v>
      </c>
      <c r="D203" s="471">
        <f t="shared" ref="D203:H203" si="39">D163+D183</f>
        <v>0</v>
      </c>
      <c r="E203" s="471">
        <f t="shared" si="39"/>
        <v>0</v>
      </c>
      <c r="F203" s="471">
        <f t="shared" si="39"/>
        <v>0</v>
      </c>
      <c r="G203" s="471">
        <f t="shared" si="39"/>
        <v>0</v>
      </c>
      <c r="H203" s="471">
        <f t="shared" si="39"/>
        <v>0</v>
      </c>
    </row>
    <row r="204" spans="1:8" ht="15.75" x14ac:dyDescent="0.2">
      <c r="A204" s="800"/>
      <c r="B204" s="329" t="s">
        <v>147</v>
      </c>
      <c r="C204" s="471">
        <f t="shared" ref="C204:H204" si="40">C164+C184</f>
        <v>0</v>
      </c>
      <c r="D204" s="471">
        <f t="shared" si="40"/>
        <v>0</v>
      </c>
      <c r="E204" s="471">
        <f t="shared" si="40"/>
        <v>0</v>
      </c>
      <c r="F204" s="471">
        <f t="shared" si="40"/>
        <v>0</v>
      </c>
      <c r="G204" s="471">
        <f t="shared" si="40"/>
        <v>0</v>
      </c>
      <c r="H204" s="471">
        <f t="shared" si="40"/>
        <v>0</v>
      </c>
    </row>
    <row r="205" spans="1:8" ht="15.75" x14ac:dyDescent="0.2">
      <c r="A205" s="800"/>
      <c r="B205" s="329" t="s">
        <v>148</v>
      </c>
      <c r="C205" s="471">
        <f t="shared" ref="C205:H205" si="41">C165+C185</f>
        <v>0</v>
      </c>
      <c r="D205" s="471">
        <f t="shared" si="41"/>
        <v>0</v>
      </c>
      <c r="E205" s="471">
        <f t="shared" si="41"/>
        <v>0</v>
      </c>
      <c r="F205" s="471">
        <f t="shared" si="41"/>
        <v>0</v>
      </c>
      <c r="G205" s="471">
        <f t="shared" si="41"/>
        <v>0</v>
      </c>
      <c r="H205" s="471">
        <f t="shared" si="41"/>
        <v>0</v>
      </c>
    </row>
    <row r="206" spans="1:8" ht="15.75" x14ac:dyDescent="0.2">
      <c r="A206" s="800"/>
      <c r="B206" s="329" t="s">
        <v>149</v>
      </c>
      <c r="C206" s="471">
        <f t="shared" ref="C206:H206" si="42">C166+C186</f>
        <v>0</v>
      </c>
      <c r="D206" s="471">
        <f t="shared" si="42"/>
        <v>0</v>
      </c>
      <c r="E206" s="471">
        <f t="shared" si="42"/>
        <v>0</v>
      </c>
      <c r="F206" s="471">
        <f t="shared" si="42"/>
        <v>0</v>
      </c>
      <c r="G206" s="471">
        <f t="shared" si="42"/>
        <v>0</v>
      </c>
      <c r="H206" s="471">
        <f t="shared" si="42"/>
        <v>0</v>
      </c>
    </row>
    <row r="207" spans="1:8" x14ac:dyDescent="0.2">
      <c r="A207" s="800"/>
      <c r="B207" s="40"/>
      <c r="C207" s="40"/>
      <c r="D207" s="40"/>
      <c r="E207" s="40"/>
      <c r="F207" s="40"/>
      <c r="G207" s="40"/>
      <c r="H207" s="40"/>
    </row>
    <row r="208" spans="1:8" x14ac:dyDescent="0.2">
      <c r="A208" s="800"/>
      <c r="B208" s="40"/>
      <c r="C208" s="40"/>
      <c r="D208" s="40"/>
      <c r="E208" s="40"/>
      <c r="F208" s="40"/>
      <c r="G208" s="40"/>
      <c r="H208" s="40"/>
    </row>
    <row r="209" spans="1:8" x14ac:dyDescent="0.2">
      <c r="A209" s="800"/>
      <c r="B209" s="40"/>
      <c r="C209" s="40"/>
      <c r="D209" s="40"/>
      <c r="E209" s="40"/>
      <c r="F209" s="40"/>
      <c r="G209" s="40"/>
      <c r="H209" s="40"/>
    </row>
    <row r="210" spans="1:8" x14ac:dyDescent="0.2">
      <c r="A210" s="800"/>
      <c r="B210" s="40"/>
      <c r="C210" s="40"/>
      <c r="D210" s="40"/>
      <c r="E210" s="40"/>
      <c r="F210" s="40"/>
      <c r="G210" s="40"/>
      <c r="H210" s="40"/>
    </row>
    <row r="211" spans="1:8" x14ac:dyDescent="0.2">
      <c r="B211" s="40"/>
      <c r="C211" s="40"/>
      <c r="D211" s="40"/>
      <c r="E211" s="40"/>
      <c r="F211" s="40"/>
      <c r="G211" s="40"/>
      <c r="H211" s="40"/>
    </row>
    <row r="212" spans="1:8" x14ac:dyDescent="0.2">
      <c r="B212" s="40"/>
      <c r="C212" s="40"/>
      <c r="D212" s="40"/>
      <c r="E212" s="40"/>
      <c r="F212" s="40"/>
      <c r="G212" s="40"/>
      <c r="H212" s="40"/>
    </row>
    <row r="213" spans="1:8" x14ac:dyDescent="0.2">
      <c r="B213" s="40"/>
      <c r="C213" s="40"/>
      <c r="D213" s="40"/>
      <c r="E213" s="40"/>
      <c r="F213" s="40"/>
      <c r="G213" s="40"/>
      <c r="H213" s="40"/>
    </row>
    <row r="214" spans="1:8" x14ac:dyDescent="0.2">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heetViews>
  <sheetFormatPr defaultColWidth="0" defaultRowHeight="14.25" zeroHeight="1" x14ac:dyDescent="0.2"/>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x14ac:dyDescent="0.25">
      <c r="A1" s="452"/>
      <c r="B1" s="40"/>
      <c r="C1" s="40"/>
      <c r="D1" s="40"/>
      <c r="E1" s="40"/>
      <c r="G1" s="40"/>
      <c r="H1" s="40"/>
      <c r="I1" s="40"/>
      <c r="J1" s="40"/>
      <c r="K1" s="40"/>
      <c r="L1" s="40"/>
      <c r="M1" s="40"/>
      <c r="N1" s="40"/>
      <c r="O1" s="40"/>
      <c r="P1" s="40"/>
      <c r="Q1" s="40"/>
    </row>
    <row r="2" spans="1:17" ht="26.25" thickBot="1" x14ac:dyDescent="0.25">
      <c r="A2" s="40"/>
      <c r="B2" s="863" t="s">
        <v>153</v>
      </c>
      <c r="C2" s="864"/>
      <c r="D2" s="864"/>
      <c r="E2" s="864"/>
      <c r="F2" s="864"/>
      <c r="G2" s="876"/>
      <c r="H2" s="40"/>
      <c r="I2" s="40"/>
      <c r="J2" s="40"/>
      <c r="K2" s="40"/>
      <c r="L2" s="40"/>
      <c r="M2" s="40"/>
      <c r="N2" s="40"/>
      <c r="O2" s="40"/>
      <c r="P2" s="40"/>
      <c r="Q2" s="40"/>
    </row>
    <row r="3" spans="1:17" ht="15" customHeight="1" x14ac:dyDescent="0.2">
      <c r="A3" s="40"/>
      <c r="B3" s="879" t="s">
        <v>154</v>
      </c>
      <c r="C3" s="881" t="s">
        <v>155</v>
      </c>
      <c r="D3" s="881"/>
      <c r="E3" s="881"/>
      <c r="F3" s="881"/>
      <c r="G3" s="877" t="s">
        <v>156</v>
      </c>
      <c r="H3" s="271"/>
      <c r="I3" s="271"/>
      <c r="J3" s="271"/>
      <c r="K3" s="271"/>
      <c r="L3" s="40"/>
      <c r="M3" s="40"/>
      <c r="N3" s="40"/>
      <c r="O3" s="40"/>
      <c r="P3" s="40"/>
      <c r="Q3" s="40"/>
    </row>
    <row r="4" spans="1:17" ht="14.25" customHeight="1" x14ac:dyDescent="0.2">
      <c r="A4" s="40"/>
      <c r="B4" s="880"/>
      <c r="C4" s="882"/>
      <c r="D4" s="882"/>
      <c r="E4" s="882"/>
      <c r="F4" s="882"/>
      <c r="G4" s="878"/>
      <c r="H4" s="271"/>
      <c r="I4" s="271"/>
      <c r="J4" s="271"/>
      <c r="K4" s="271"/>
      <c r="L4" s="40"/>
      <c r="M4" s="40"/>
      <c r="N4" s="40"/>
      <c r="O4" s="40"/>
      <c r="P4" s="40"/>
      <c r="Q4" s="40"/>
    </row>
    <row r="5" spans="1:17" ht="20.25" x14ac:dyDescent="0.2">
      <c r="A5" s="40"/>
      <c r="B5" s="129" t="s">
        <v>157</v>
      </c>
      <c r="C5" s="883" t="s">
        <v>158</v>
      </c>
      <c r="D5" s="883"/>
      <c r="E5" s="883"/>
      <c r="F5" s="883"/>
      <c r="G5" s="262" t="str">
        <f>IF(('A-1 Site Habitat Baseline'!AQ259+'D-1 Off Site Habitat Baseline'!AQ259)&gt;0,"No ▲","Yes ✓")</f>
        <v>Yes ✓</v>
      </c>
      <c r="H5" s="271"/>
      <c r="I5" s="271"/>
      <c r="J5" s="271"/>
      <c r="K5" s="271"/>
      <c r="L5" s="40"/>
      <c r="M5" s="40"/>
      <c r="N5" s="40"/>
      <c r="O5" s="40"/>
      <c r="P5" s="40"/>
      <c r="Q5" s="40"/>
    </row>
    <row r="6" spans="1:17" ht="22.5" customHeight="1" x14ac:dyDescent="0.2">
      <c r="A6" s="40"/>
      <c r="B6" s="129" t="s">
        <v>159</v>
      </c>
      <c r="C6" s="884" t="s">
        <v>160</v>
      </c>
      <c r="D6" s="884"/>
      <c r="E6" s="884"/>
      <c r="F6" s="884"/>
      <c r="G6" s="262" t="str">
        <f ca="1">IFERROR(IF(J41&lt;0,"No ▲","Yes ✓"),"")</f>
        <v>No ▲</v>
      </c>
      <c r="H6" s="40"/>
      <c r="I6" s="40"/>
      <c r="J6" s="40"/>
      <c r="K6" s="40"/>
      <c r="L6" s="40"/>
      <c r="M6" s="40"/>
      <c r="N6" s="40"/>
      <c r="O6" s="40"/>
      <c r="P6" s="40"/>
      <c r="Q6" s="40"/>
    </row>
    <row r="7" spans="1:17" ht="19.5" customHeight="1" x14ac:dyDescent="0.2">
      <c r="A7" s="40"/>
      <c r="B7" s="129" t="s">
        <v>29</v>
      </c>
      <c r="C7" s="885" t="s">
        <v>161</v>
      </c>
      <c r="D7" s="885"/>
      <c r="E7" s="885"/>
      <c r="F7" s="885"/>
      <c r="G7" s="148" t="str">
        <f ca="1">IF(J40+J12+J89&lt;0,"No ▲","Yes ✓")</f>
        <v>Yes ✓</v>
      </c>
      <c r="H7" s="40"/>
      <c r="I7" s="40"/>
      <c r="J7" s="40"/>
      <c r="K7" s="40"/>
      <c r="L7" s="40"/>
      <c r="M7" s="40"/>
      <c r="N7" s="40"/>
      <c r="O7" s="40"/>
      <c r="P7" s="40"/>
      <c r="Q7" s="40"/>
    </row>
    <row r="8" spans="1:17" ht="18.75" customHeight="1" thickBot="1" x14ac:dyDescent="0.25">
      <c r="A8" s="40"/>
      <c r="B8" s="97" t="s">
        <v>162</v>
      </c>
      <c r="C8" s="886" t="s">
        <v>163</v>
      </c>
      <c r="D8" s="886"/>
      <c r="E8" s="886"/>
      <c r="F8" s="886"/>
      <c r="G8" s="162" t="str">
        <f ca="1">IF(J124&lt;0,"No ▲","Yes ✓")</f>
        <v>Yes ✓</v>
      </c>
      <c r="H8" s="40"/>
      <c r="I8" s="40"/>
      <c r="J8" s="40"/>
      <c r="K8" s="40"/>
      <c r="L8" s="40"/>
      <c r="M8" s="40"/>
      <c r="N8" s="40"/>
      <c r="O8" s="40"/>
      <c r="P8" s="40"/>
      <c r="Q8" s="40"/>
    </row>
    <row r="9" spans="1:17" ht="14.25" customHeight="1" x14ac:dyDescent="0.2">
      <c r="A9" s="40"/>
      <c r="B9" s="40"/>
      <c r="C9" s="40"/>
      <c r="D9" s="40"/>
      <c r="E9" s="40"/>
      <c r="F9" s="40"/>
      <c r="G9" s="40"/>
      <c r="H9" s="40"/>
      <c r="I9" s="40"/>
      <c r="J9" s="40"/>
      <c r="K9" s="40"/>
      <c r="L9" s="40"/>
      <c r="M9" s="40"/>
      <c r="N9" s="40"/>
      <c r="O9" s="40"/>
      <c r="P9" s="40"/>
      <c r="Q9" s="40"/>
    </row>
    <row r="10" spans="1:17" ht="15" thickBot="1" x14ac:dyDescent="0.25">
      <c r="A10" s="40"/>
      <c r="B10" s="40"/>
      <c r="C10" s="40"/>
      <c r="D10" s="40"/>
      <c r="E10" s="40"/>
      <c r="F10" s="40"/>
      <c r="G10" s="40"/>
      <c r="H10" s="40"/>
      <c r="I10" s="40"/>
      <c r="J10" s="40"/>
      <c r="K10" s="40"/>
      <c r="L10" s="40"/>
      <c r="M10" s="40"/>
      <c r="N10" s="40"/>
      <c r="O10" s="40"/>
      <c r="P10" s="40"/>
      <c r="Q10" s="40"/>
    </row>
    <row r="11" spans="1:17" ht="26.25" thickBot="1" x14ac:dyDescent="0.25">
      <c r="A11" s="40"/>
      <c r="B11" s="863" t="s">
        <v>164</v>
      </c>
      <c r="C11" s="864"/>
      <c r="D11" s="864"/>
      <c r="E11" s="864"/>
      <c r="F11" s="864"/>
      <c r="G11" s="876"/>
      <c r="H11" s="40"/>
      <c r="I11" s="867" t="s">
        <v>165</v>
      </c>
      <c r="J11" s="868"/>
      <c r="K11" s="40"/>
      <c r="L11" s="40"/>
      <c r="M11" s="40"/>
      <c r="N11" s="40"/>
      <c r="O11" s="40"/>
      <c r="P11" s="40"/>
      <c r="Q11" s="40"/>
    </row>
    <row r="12" spans="1:17" s="42" customFormat="1" ht="48" thickBot="1" x14ac:dyDescent="0.25">
      <c r="A12" s="40"/>
      <c r="B12" s="93" t="s">
        <v>65</v>
      </c>
      <c r="C12" s="94" t="s">
        <v>166</v>
      </c>
      <c r="D12" s="94" t="s">
        <v>167</v>
      </c>
      <c r="E12" s="94" t="s">
        <v>168</v>
      </c>
      <c r="F12" s="94" t="s">
        <v>169</v>
      </c>
      <c r="G12" s="95" t="s">
        <v>170</v>
      </c>
      <c r="H12" s="40"/>
      <c r="I12" s="357" t="s">
        <v>171</v>
      </c>
      <c r="J12" s="482">
        <f ca="1">SUMIF($F$13:$F$32,"&gt;0")</f>
        <v>6.2338798860708122</v>
      </c>
      <c r="K12" s="40"/>
      <c r="L12" s="40"/>
      <c r="M12" s="40"/>
      <c r="N12" s="40"/>
      <c r="O12" s="40"/>
      <c r="P12" s="40"/>
      <c r="Q12" s="40"/>
    </row>
    <row r="13" spans="1:17" ht="15.75" customHeight="1" x14ac:dyDescent="0.2">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75" t="str">
        <f ca="1">IF($G$33&lt;0,"Very high distinctiveness unit defecit - CHECK DATA","")</f>
        <v/>
      </c>
      <c r="J13" s="875"/>
      <c r="K13" s="40"/>
      <c r="L13" s="40"/>
      <c r="M13" s="40"/>
      <c r="N13" s="40"/>
      <c r="O13" s="40"/>
      <c r="P13" s="40"/>
      <c r="Q13" s="40"/>
    </row>
    <row r="14" spans="1:17" x14ac:dyDescent="0.2">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x14ac:dyDescent="0.2">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2">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2">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2">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2">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2">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2">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2">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2">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2">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2">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2">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2">
      <c r="A27" s="40"/>
      <c r="B27" s="346" t="str">
        <f>'G-2 Habitat groups'!AU19</f>
        <v>Woodland and forest - Wood-pasture and parkland</v>
      </c>
      <c r="C27" s="347" t="str">
        <f>'G-2 Habitat groups'!AV19</f>
        <v>Woodland and forest</v>
      </c>
      <c r="D27" s="480">
        <f ca="1">'G-2 Habitat groups'!BB19</f>
        <v>6.2338798860708122</v>
      </c>
      <c r="E27" s="480">
        <f>'G-2 Habitat groups'!BD19</f>
        <v>0</v>
      </c>
      <c r="F27" s="480">
        <f ca="1">'G-2 Habitat groups'!BE19</f>
        <v>6.2338798860708122</v>
      </c>
      <c r="G27" s="481" t="str">
        <f ca="1">'G-2 Habitat groups'!BF19</f>
        <v/>
      </c>
      <c r="H27" s="40"/>
      <c r="I27" s="40"/>
      <c r="J27" s="40"/>
      <c r="K27" s="40"/>
      <c r="L27" s="40"/>
      <c r="M27" s="40"/>
      <c r="N27" s="40"/>
      <c r="O27" s="40"/>
      <c r="P27" s="40"/>
      <c r="Q27" s="40"/>
    </row>
    <row r="28" spans="1:17" x14ac:dyDescent="0.2">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2">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x14ac:dyDescent="0.2">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2">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5" thickBot="1" x14ac:dyDescent="0.25">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5" thickBot="1" x14ac:dyDescent="0.25">
      <c r="A33" s="40"/>
      <c r="B33" s="40"/>
      <c r="C33" s="40"/>
      <c r="D33" s="472">
        <f ca="1">SUM(D13:D32)</f>
        <v>6.2338798860708122</v>
      </c>
      <c r="E33" s="473">
        <f>SUM(E13:E32)</f>
        <v>0</v>
      </c>
      <c r="F33" s="474">
        <f ca="1">SUM(F13:F32)</f>
        <v>6.2338798860708122</v>
      </c>
      <c r="G33" s="475">
        <f ca="1">SUM(G13:G32)</f>
        <v>0</v>
      </c>
      <c r="H33" s="40"/>
      <c r="I33" s="40"/>
      <c r="J33" s="40"/>
      <c r="K33" s="40"/>
      <c r="L33" s="40"/>
      <c r="M33" s="40"/>
      <c r="N33" s="40"/>
      <c r="O33" s="40"/>
      <c r="P33" s="40"/>
      <c r="Q33" s="40"/>
    </row>
    <row r="34" spans="1:17" x14ac:dyDescent="0.2">
      <c r="A34" s="40"/>
      <c r="B34" s="40"/>
      <c r="C34" s="40"/>
      <c r="D34" s="40"/>
      <c r="E34" s="40"/>
      <c r="F34" s="40"/>
      <c r="G34" s="40"/>
      <c r="H34" s="40"/>
      <c r="I34" s="40"/>
      <c r="J34" s="40"/>
      <c r="K34" s="40"/>
      <c r="L34" s="40"/>
      <c r="M34" s="40"/>
      <c r="N34" s="40"/>
      <c r="O34" s="40"/>
      <c r="P34" s="40"/>
      <c r="Q34" s="40"/>
    </row>
    <row r="35" spans="1:17" x14ac:dyDescent="0.2">
      <c r="A35" s="40"/>
      <c r="B35" s="40"/>
      <c r="C35" s="40"/>
      <c r="D35" s="40"/>
      <c r="E35" s="40"/>
      <c r="F35" s="40"/>
      <c r="G35" s="40"/>
      <c r="H35" s="40"/>
      <c r="I35" s="40"/>
      <c r="J35" s="40"/>
      <c r="K35" s="40"/>
      <c r="L35" s="40"/>
      <c r="M35" s="40"/>
      <c r="N35" s="40"/>
      <c r="O35" s="40"/>
      <c r="P35" s="40"/>
      <c r="Q35" s="40"/>
    </row>
    <row r="36" spans="1:17" x14ac:dyDescent="0.2">
      <c r="A36" s="40"/>
      <c r="B36" s="40"/>
      <c r="C36" s="40"/>
      <c r="D36" s="40"/>
      <c r="E36" s="40"/>
      <c r="F36" s="40"/>
      <c r="G36" s="40"/>
      <c r="H36" s="40"/>
      <c r="I36" s="40"/>
      <c r="J36" s="40"/>
      <c r="K36" s="40"/>
      <c r="L36" s="40"/>
      <c r="M36" s="40"/>
      <c r="N36" s="40"/>
      <c r="O36" s="40"/>
      <c r="P36" s="40"/>
      <c r="Q36" s="40"/>
    </row>
    <row r="37" spans="1:17" x14ac:dyDescent="0.2">
      <c r="A37" s="40"/>
      <c r="B37" s="40"/>
      <c r="C37" s="40"/>
      <c r="D37" s="40"/>
      <c r="E37" s="40"/>
      <c r="F37" s="40"/>
      <c r="G37" s="40"/>
      <c r="H37" s="40"/>
      <c r="I37" s="40"/>
      <c r="J37" s="40"/>
      <c r="K37" s="40"/>
      <c r="L37" s="40"/>
      <c r="M37" s="40"/>
      <c r="N37" s="40"/>
      <c r="O37" s="40"/>
      <c r="P37" s="40"/>
      <c r="Q37" s="40"/>
    </row>
    <row r="38" spans="1:17" ht="15" thickBot="1" x14ac:dyDescent="0.25">
      <c r="A38" s="40"/>
      <c r="B38" s="40"/>
      <c r="C38" s="40"/>
      <c r="D38" s="40"/>
      <c r="E38" s="40"/>
      <c r="F38" s="40"/>
      <c r="G38" s="40"/>
      <c r="H38" s="40"/>
      <c r="I38" s="40"/>
      <c r="J38" s="40"/>
      <c r="K38" s="40"/>
      <c r="L38" s="40"/>
      <c r="M38" s="40"/>
      <c r="N38" s="40"/>
      <c r="O38" s="40"/>
      <c r="P38" s="40"/>
      <c r="Q38" s="40"/>
    </row>
    <row r="39" spans="1:17" ht="26.25" thickBot="1" x14ac:dyDescent="0.25">
      <c r="A39" s="40"/>
      <c r="B39" s="863" t="s">
        <v>172</v>
      </c>
      <c r="C39" s="864"/>
      <c r="D39" s="864"/>
      <c r="E39" s="864"/>
      <c r="F39" s="864"/>
      <c r="G39" s="876"/>
      <c r="H39" s="40"/>
      <c r="I39" s="867" t="s">
        <v>173</v>
      </c>
      <c r="J39" s="868"/>
      <c r="K39" s="40"/>
      <c r="L39" s="40"/>
      <c r="M39" s="40"/>
    </row>
    <row r="40" spans="1:17" ht="47.25" x14ac:dyDescent="0.2">
      <c r="A40" s="40"/>
      <c r="B40" s="93" t="s">
        <v>65</v>
      </c>
      <c r="C40" s="94" t="s">
        <v>166</v>
      </c>
      <c r="D40" s="94" t="s">
        <v>167</v>
      </c>
      <c r="E40" s="94" t="s">
        <v>168</v>
      </c>
      <c r="F40" s="94" t="s">
        <v>169</v>
      </c>
      <c r="G40" s="95" t="s">
        <v>174</v>
      </c>
      <c r="H40" s="40"/>
      <c r="I40" s="96" t="s">
        <v>175</v>
      </c>
      <c r="J40" s="485">
        <f ca="1">SUMIF($F$41:$F$81,"&gt;0")</f>
        <v>22.475997471922373</v>
      </c>
      <c r="K40" s="40"/>
      <c r="L40" s="40"/>
      <c r="M40" s="40"/>
      <c r="N40" s="40"/>
      <c r="O40" s="40"/>
    </row>
    <row r="41" spans="1:17" ht="15" thickBot="1" x14ac:dyDescent="0.25">
      <c r="A41" s="40"/>
      <c r="B41" s="344" t="str">
        <f>'G-2 Habitat groups'!AU30</f>
        <v>Grassland - Traditional orchards</v>
      </c>
      <c r="C41" s="345" t="str">
        <f>'G-2 Habitat groups'!AV30</f>
        <v>Grassland</v>
      </c>
      <c r="D41" s="483">
        <f ca="1">'G-2 Habitat groups'!BB30</f>
        <v>6.9085840971926409</v>
      </c>
      <c r="E41" s="483">
        <f>'G-2 Habitat groups'!BD30</f>
        <v>0</v>
      </c>
      <c r="F41" s="483">
        <f ca="1">'G-2 Habitat groups'!BE30</f>
        <v>6.9085840971926409</v>
      </c>
      <c r="G41" s="484" t="str">
        <f ca="1">'G-2 Habitat groups'!BF30</f>
        <v/>
      </c>
      <c r="H41" s="40"/>
      <c r="I41" s="97" t="s">
        <v>176</v>
      </c>
      <c r="J41" s="486">
        <f ca="1">G82</f>
        <v>-1.29582</v>
      </c>
      <c r="K41" s="40"/>
      <c r="L41" s="40"/>
      <c r="M41" s="40"/>
      <c r="N41" s="40"/>
      <c r="O41" s="40"/>
    </row>
    <row r="42" spans="1:17" x14ac:dyDescent="0.2">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x14ac:dyDescent="0.2">
      <c r="A43" s="40"/>
      <c r="B43" s="344" t="str">
        <f>'G-2 Habitat groups'!AU32</f>
        <v>Grassland - Lowland calcareous grassland</v>
      </c>
      <c r="C43" s="345" t="str">
        <f>'G-2 Habitat groups'!AV32</f>
        <v>Grassland</v>
      </c>
      <c r="D43" s="483">
        <f ca="1">'G-2 Habitat groups'!BB32</f>
        <v>13.010218977402268</v>
      </c>
      <c r="E43" s="483">
        <f>'G-2 Habitat groups'!BD32</f>
        <v>0</v>
      </c>
      <c r="F43" s="483">
        <f ca="1">'G-2 Habitat groups'!BE32</f>
        <v>13.010218977402268</v>
      </c>
      <c r="G43" s="484" t="str">
        <f ca="1">'G-2 Habitat groups'!BF32</f>
        <v/>
      </c>
      <c r="H43" s="40"/>
      <c r="K43" s="40"/>
      <c r="L43" s="40"/>
      <c r="M43" s="40"/>
      <c r="N43" s="40"/>
    </row>
    <row r="44" spans="1:17" ht="15" customHeight="1" x14ac:dyDescent="0.2">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2">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2">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2">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2">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2">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2">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2">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2">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2">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2">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x14ac:dyDescent="0.2">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2">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2">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2">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2">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2">
      <c r="A60" s="40"/>
      <c r="B60" s="344" t="str">
        <f>'G-2 Habitat groups'!AU49</f>
        <v>Urban - Open Mosaic Habitats on Previously Developed Land</v>
      </c>
      <c r="C60" s="345" t="str">
        <f>'G-2 Habitat groups'!AV49</f>
        <v>Urban</v>
      </c>
      <c r="D60" s="483">
        <f>'G-2 Habitat groups'!BB49</f>
        <v>-1.29582</v>
      </c>
      <c r="E60" s="483">
        <f>'G-2 Habitat groups'!BD49</f>
        <v>0</v>
      </c>
      <c r="F60" s="483">
        <f>'G-2 Habitat groups'!BE49</f>
        <v>-1.29582</v>
      </c>
      <c r="G60" s="484">
        <f>'G-2 Habitat groups'!BF49</f>
        <v>-1.29582</v>
      </c>
      <c r="H60" s="40"/>
      <c r="K60" s="40"/>
      <c r="L60" s="40"/>
      <c r="M60" s="40"/>
      <c r="N60" s="40"/>
      <c r="O60" s="40"/>
    </row>
    <row r="61" spans="1:15" x14ac:dyDescent="0.2">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2">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2">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2">
      <c r="A64" s="40"/>
      <c r="B64" s="344" t="str">
        <f>'G-2 Habitat groups'!AU53</f>
        <v>Woodland and forest - Lowland mixed deciduous woodland</v>
      </c>
      <c r="C64" s="345" t="str">
        <f>'G-2 Habitat groups'!AV53</f>
        <v>Woodland and forest</v>
      </c>
      <c r="D64" s="483">
        <f ca="1">'G-2 Habitat groups'!BB53</f>
        <v>2.5571943973274642</v>
      </c>
      <c r="E64" s="483">
        <f>'G-2 Habitat groups'!BD53</f>
        <v>0</v>
      </c>
      <c r="F64" s="483">
        <f ca="1">'G-2 Habitat groups'!BE53</f>
        <v>2.5571943973274642</v>
      </c>
      <c r="G64" s="484" t="str">
        <f ca="1">'G-2 Habitat groups'!BF53</f>
        <v/>
      </c>
      <c r="H64" s="40"/>
      <c r="I64" s="40"/>
      <c r="J64" s="40"/>
      <c r="K64" s="40"/>
      <c r="L64" s="40"/>
      <c r="M64" s="40"/>
      <c r="N64" s="40"/>
      <c r="O64" s="40"/>
    </row>
    <row r="65" spans="1:15" x14ac:dyDescent="0.2">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2">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2">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2">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5" customHeight="1" x14ac:dyDescent="0.2">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2">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2">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2">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2">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2">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2">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2">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2">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2">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2">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2">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5" thickBot="1" x14ac:dyDescent="0.25">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5" thickBot="1" x14ac:dyDescent="0.25">
      <c r="A82" s="40"/>
      <c r="B82" s="46"/>
      <c r="C82" s="46"/>
      <c r="D82" s="472">
        <f ca="1">SUM(D41:D81)</f>
        <v>21.180177471922374</v>
      </c>
      <c r="E82" s="473">
        <f>SUM(E41:E81)</f>
        <v>0</v>
      </c>
      <c r="F82" s="474">
        <f ca="1">SUM(F41:F81)</f>
        <v>21.180177471922374</v>
      </c>
      <c r="G82" s="475">
        <f ca="1">SUM(G41:G81)</f>
        <v>-1.29582</v>
      </c>
      <c r="H82" s="40"/>
      <c r="I82" s="40"/>
      <c r="J82" s="40"/>
      <c r="K82" s="40"/>
      <c r="L82" s="40"/>
      <c r="M82" s="40"/>
      <c r="N82" s="40"/>
      <c r="O82" s="40"/>
      <c r="P82" s="40"/>
      <c r="Q82" s="40"/>
    </row>
    <row r="83" spans="1:17" x14ac:dyDescent="0.2">
      <c r="A83" s="40"/>
      <c r="B83" s="40"/>
      <c r="C83" s="40"/>
      <c r="D83" s="40"/>
      <c r="E83" s="40"/>
      <c r="F83" s="40"/>
      <c r="G83" s="40"/>
      <c r="H83" s="40"/>
      <c r="I83" s="40"/>
      <c r="J83" s="40"/>
      <c r="K83" s="40"/>
      <c r="L83" s="40"/>
      <c r="M83" s="40"/>
      <c r="N83" s="40"/>
      <c r="O83" s="40"/>
      <c r="P83" s="40"/>
      <c r="Q83" s="40"/>
    </row>
    <row r="84" spans="1:17" x14ac:dyDescent="0.2">
      <c r="A84" s="40"/>
      <c r="B84" s="40"/>
      <c r="C84" s="40"/>
      <c r="D84" s="40"/>
      <c r="E84" s="40"/>
      <c r="F84" s="40"/>
      <c r="G84" s="40"/>
      <c r="H84" s="40"/>
      <c r="I84" s="40"/>
      <c r="J84" s="40"/>
      <c r="K84" s="40"/>
      <c r="L84" s="40"/>
      <c r="M84" s="40"/>
      <c r="N84" s="40"/>
      <c r="O84" s="40"/>
      <c r="P84" s="40"/>
      <c r="Q84" s="40"/>
    </row>
    <row r="85" spans="1:17" x14ac:dyDescent="0.2">
      <c r="A85" s="40"/>
      <c r="B85" s="40"/>
      <c r="C85" s="40"/>
      <c r="D85" s="40"/>
      <c r="E85" s="40"/>
      <c r="F85" s="40"/>
      <c r="G85" s="40"/>
      <c r="H85" s="40"/>
      <c r="I85" s="40"/>
      <c r="J85" s="40"/>
      <c r="K85" s="40"/>
      <c r="L85" s="40"/>
      <c r="M85" s="40"/>
      <c r="N85" s="40"/>
      <c r="O85" s="40"/>
      <c r="P85" s="40"/>
      <c r="Q85" s="40"/>
    </row>
    <row r="86" spans="1:17" ht="15" thickBot="1" x14ac:dyDescent="0.25">
      <c r="A86" s="40"/>
      <c r="B86" s="40"/>
      <c r="C86" s="40"/>
      <c r="D86" s="40"/>
      <c r="E86" s="40"/>
      <c r="F86" s="40"/>
      <c r="G86" s="40"/>
      <c r="H86" s="40"/>
      <c r="I86" s="40"/>
      <c r="J86" s="40"/>
      <c r="K86" s="40"/>
      <c r="L86" s="40"/>
      <c r="M86" s="40"/>
      <c r="N86" s="40"/>
      <c r="O86" s="40"/>
      <c r="P86" s="40"/>
      <c r="Q86" s="40"/>
    </row>
    <row r="87" spans="1:17" ht="28.5" thickBot="1" x14ac:dyDescent="0.35">
      <c r="A87" s="40"/>
      <c r="B87" s="872" t="s">
        <v>177</v>
      </c>
      <c r="C87" s="873"/>
      <c r="D87" s="873"/>
      <c r="E87" s="873"/>
      <c r="F87" s="873"/>
      <c r="G87" s="874"/>
      <c r="H87" s="40"/>
      <c r="I87" s="865" t="s">
        <v>178</v>
      </c>
      <c r="J87" s="866"/>
      <c r="K87" s="40"/>
      <c r="L87" s="40"/>
      <c r="M87" s="40"/>
      <c r="N87" s="40"/>
      <c r="O87" s="40"/>
    </row>
    <row r="88" spans="1:17" ht="48" thickBot="1" x14ac:dyDescent="0.25">
      <c r="A88" s="40"/>
      <c r="B88" s="350" t="s">
        <v>179</v>
      </c>
      <c r="C88" s="351" t="s">
        <v>166</v>
      </c>
      <c r="D88" s="351" t="s">
        <v>180</v>
      </c>
      <c r="E88" s="351" t="s">
        <v>181</v>
      </c>
      <c r="F88" s="351" t="s">
        <v>182</v>
      </c>
      <c r="G88" s="352" t="s">
        <v>183</v>
      </c>
      <c r="H88" s="40"/>
      <c r="I88" s="96" t="s">
        <v>184</v>
      </c>
      <c r="J88" s="487">
        <f ca="1">SUMIF(G89:G113,"&gt;0")</f>
        <v>167.75166405285367</v>
      </c>
      <c r="K88" s="40"/>
      <c r="L88" s="40"/>
    </row>
    <row r="89" spans="1:17" ht="28.5" x14ac:dyDescent="0.2">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69">
        <f>SUM(F89:F92)</f>
        <v>0</v>
      </c>
      <c r="H89" s="40"/>
      <c r="I89" s="129" t="s">
        <v>185</v>
      </c>
      <c r="J89" s="488">
        <f ca="1">SUMIF(G89:G113,"&lt;0")</f>
        <v>-2.8777599999999999</v>
      </c>
      <c r="K89" s="40"/>
      <c r="L89" s="40"/>
    </row>
    <row r="90" spans="1:17" ht="28.5" x14ac:dyDescent="0.2">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0"/>
      <c r="H90" s="40"/>
      <c r="I90" s="129" t="s">
        <v>186</v>
      </c>
      <c r="J90" s="488">
        <f ca="1">IF(J40+J12+J89&gt;0,J40+J12+J89,0)</f>
        <v>25.832117357993187</v>
      </c>
    </row>
    <row r="91" spans="1:17" ht="15" thickBot="1" x14ac:dyDescent="0.25">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0"/>
      <c r="H91" s="40"/>
      <c r="I91" s="97" t="s">
        <v>187</v>
      </c>
      <c r="J91" s="486">
        <f ca="1">J90+J88</f>
        <v>193.58378141084685</v>
      </c>
      <c r="K91" s="40"/>
      <c r="L91" s="40"/>
    </row>
    <row r="92" spans="1:17" ht="15" thickBot="1" x14ac:dyDescent="0.25">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70"/>
      <c r="H92" s="40"/>
      <c r="I92" s="40"/>
      <c r="J92" s="40"/>
      <c r="K92" s="40"/>
      <c r="L92" s="40"/>
    </row>
    <row r="93" spans="1:17" x14ac:dyDescent="0.2">
      <c r="A93" s="40"/>
      <c r="B93" s="353" t="str">
        <f>'G-2 Habitat groups'!AU81</f>
        <v>Grassland - Other lowland acid grassland</v>
      </c>
      <c r="C93" s="354" t="str">
        <f>'G-2 Habitat groups'!AV81</f>
        <v>Grassland</v>
      </c>
      <c r="D93" s="489">
        <f ca="1">'G-2 Habitat groups'!BB81</f>
        <v>6.7754168494206102</v>
      </c>
      <c r="E93" s="489">
        <f>'G-2 Habitat groups'!BD81</f>
        <v>0</v>
      </c>
      <c r="F93" s="489">
        <f ca="1">'G-2 Habitat groups'!BE81</f>
        <v>6.7754168494206102</v>
      </c>
      <c r="G93" s="869">
        <f ca="1">SUM(F93:F95)</f>
        <v>163.66424195356788</v>
      </c>
      <c r="H93" s="40"/>
      <c r="I93" s="40"/>
      <c r="J93" s="40"/>
      <c r="K93" s="40"/>
      <c r="L93" s="40"/>
    </row>
    <row r="94" spans="1:17" x14ac:dyDescent="0.2">
      <c r="A94" s="40"/>
      <c r="B94" s="346" t="str">
        <f>'G-2 Habitat groups'!AU82</f>
        <v>Grassland - Other neutral grassland</v>
      </c>
      <c r="C94" s="347" t="str">
        <f>'G-2 Habitat groups'!AV82</f>
        <v>Grassland</v>
      </c>
      <c r="D94" s="480">
        <f ca="1">'G-2 Habitat groups'!BB82</f>
        <v>156.88882510414726</v>
      </c>
      <c r="E94" s="480">
        <f>'G-2 Habitat groups'!BD82</f>
        <v>0</v>
      </c>
      <c r="F94" s="480">
        <f ca="1">'G-2 Habitat groups'!BE82</f>
        <v>156.88882510414726</v>
      </c>
      <c r="G94" s="870"/>
      <c r="H94" s="40"/>
      <c r="I94" s="40"/>
      <c r="J94" s="40"/>
      <c r="K94" s="40"/>
      <c r="L94" s="40"/>
    </row>
    <row r="95" spans="1:17" ht="15" thickBot="1" x14ac:dyDescent="0.25">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1"/>
      <c r="H95" s="40"/>
      <c r="I95" s="40"/>
      <c r="J95" s="40"/>
      <c r="K95" s="40"/>
      <c r="L95" s="40"/>
      <c r="M95" s="40"/>
    </row>
    <row r="96" spans="1:17" x14ac:dyDescent="0.2">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69">
        <f>SUM(F96:F101)</f>
        <v>-2.8777599999999999</v>
      </c>
      <c r="H96" s="40"/>
      <c r="I96" s="40"/>
      <c r="J96" s="40"/>
      <c r="K96" s="40"/>
      <c r="L96" s="40"/>
      <c r="M96" s="40"/>
    </row>
    <row r="97" spans="1:15" x14ac:dyDescent="0.2">
      <c r="A97" s="40"/>
      <c r="B97" s="346" t="str">
        <f>'G-2 Habitat groups'!AU85</f>
        <v>Heathland and shrub - Bramble scrub</v>
      </c>
      <c r="C97" s="347" t="str">
        <f>'G-2 Habitat groups'!AV85</f>
        <v>Heathland and shrub</v>
      </c>
      <c r="D97" s="480">
        <f>'G-2 Habitat groups'!BB85</f>
        <v>-0.89239999999999997</v>
      </c>
      <c r="E97" s="480">
        <f>'G-2 Habitat groups'!BD85</f>
        <v>0</v>
      </c>
      <c r="F97" s="480">
        <f>'G-2 Habitat groups'!BE85</f>
        <v>-0.89239999999999997</v>
      </c>
      <c r="G97" s="870"/>
      <c r="H97" s="40"/>
      <c r="I97" s="40"/>
      <c r="J97" s="40"/>
      <c r="K97" s="40"/>
      <c r="L97" s="40"/>
      <c r="M97" s="40"/>
    </row>
    <row r="98" spans="1:15" x14ac:dyDescent="0.2">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0"/>
      <c r="H98" s="40"/>
      <c r="I98" s="40"/>
      <c r="J98" s="40"/>
      <c r="K98" s="40"/>
      <c r="L98" s="40"/>
      <c r="M98" s="40"/>
    </row>
    <row r="99" spans="1:15" x14ac:dyDescent="0.2">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0"/>
      <c r="H99" s="40"/>
      <c r="I99" s="40"/>
      <c r="J99" s="40"/>
      <c r="K99" s="40"/>
      <c r="L99" s="40"/>
      <c r="M99" s="40"/>
    </row>
    <row r="100" spans="1:15" x14ac:dyDescent="0.2">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0"/>
      <c r="H100" s="40"/>
      <c r="I100" s="40"/>
      <c r="J100" s="40"/>
      <c r="K100" s="40"/>
      <c r="L100" s="40"/>
      <c r="M100" s="40"/>
      <c r="N100" s="40"/>
      <c r="O100" s="40"/>
    </row>
    <row r="101" spans="1:15" ht="15" thickBot="1" x14ac:dyDescent="0.25">
      <c r="A101" s="40"/>
      <c r="B101" s="348" t="str">
        <f>'G-2 Habitat groups'!AU89</f>
        <v>Heathland and shrub - Mixed scrub</v>
      </c>
      <c r="C101" s="349" t="str">
        <f>'G-2 Habitat groups'!AV89</f>
        <v>Heathland and shrub</v>
      </c>
      <c r="D101" s="490">
        <f>'G-2 Habitat groups'!BB89</f>
        <v>-1.9853599999999998</v>
      </c>
      <c r="E101" s="490">
        <f>'G-2 Habitat groups'!BD89</f>
        <v>0</v>
      </c>
      <c r="F101" s="490">
        <f>'G-2 Habitat groups'!BE89</f>
        <v>-1.9853599999999998</v>
      </c>
      <c r="G101" s="871"/>
      <c r="H101" s="40"/>
      <c r="I101" s="40"/>
      <c r="J101" s="40"/>
      <c r="K101" s="40"/>
      <c r="L101" s="40"/>
      <c r="M101" s="40"/>
      <c r="N101" s="40"/>
      <c r="O101" s="40"/>
    </row>
    <row r="102" spans="1:15" x14ac:dyDescent="0.2">
      <c r="A102" s="40"/>
      <c r="B102" s="353" t="str">
        <f>'G-2 Habitat groups'!AU90</f>
        <v>Lakes - Ponds (Non- Priority Habitat)</v>
      </c>
      <c r="C102" s="354" t="str">
        <f>'G-2 Habitat groups'!AV90</f>
        <v>Lakes</v>
      </c>
      <c r="D102" s="489">
        <f ca="1">'G-2 Habitat groups'!BB90</f>
        <v>0.11652748601662516</v>
      </c>
      <c r="E102" s="489">
        <f>'G-2 Habitat groups'!BD90</f>
        <v>0</v>
      </c>
      <c r="F102" s="489">
        <f ca="1">'G-2 Habitat groups'!BE90</f>
        <v>0.11652748601662516</v>
      </c>
      <c r="G102" s="869">
        <f ca="1">SUM(F102:F103)</f>
        <v>0.11652748601662516</v>
      </c>
      <c r="H102" s="40"/>
      <c r="K102" s="40"/>
      <c r="L102" s="40"/>
      <c r="M102" s="40"/>
      <c r="N102" s="40"/>
      <c r="O102" s="40"/>
    </row>
    <row r="103" spans="1:15" ht="15" thickBot="1" x14ac:dyDescent="0.25">
      <c r="A103" s="40"/>
      <c r="B103" s="348" t="str">
        <f>'G-2 Habitat groups'!AU91</f>
        <v>Lakes - Reservoirs</v>
      </c>
      <c r="C103" s="349" t="str">
        <f>'G-2 Habitat groups'!AV91</f>
        <v>Lakes</v>
      </c>
      <c r="D103" s="490">
        <f>'G-2 Habitat groups'!BB91</f>
        <v>0</v>
      </c>
      <c r="E103" s="490">
        <f>'G-2 Habitat groups'!BD91</f>
        <v>0</v>
      </c>
      <c r="F103" s="490">
        <f>'G-2 Habitat groups'!BE91</f>
        <v>0</v>
      </c>
      <c r="G103" s="871"/>
      <c r="H103" s="40"/>
      <c r="K103" s="40"/>
      <c r="L103" s="40"/>
      <c r="M103" s="40"/>
      <c r="N103" s="40"/>
      <c r="O103" s="40"/>
    </row>
    <row r="104" spans="1:15" ht="15" thickBot="1" x14ac:dyDescent="0.25">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2">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69">
        <f>SUM(F105:F107)</f>
        <v>0</v>
      </c>
      <c r="H105" s="40"/>
      <c r="I105" s="40"/>
      <c r="J105" s="40"/>
      <c r="K105" s="40"/>
      <c r="L105" s="40"/>
      <c r="M105" s="40"/>
      <c r="N105" s="40"/>
      <c r="O105" s="40"/>
    </row>
    <row r="106" spans="1:15" ht="15" customHeight="1" x14ac:dyDescent="0.2">
      <c r="A106" s="40"/>
      <c r="B106" s="660" t="str">
        <f>'G-2 Habitat groups'!AU94</f>
        <v>Urban - Biodiverse green roof</v>
      </c>
      <c r="C106" s="661" t="str">
        <f>'G-2 Habitat groups'!AV94</f>
        <v>Urban</v>
      </c>
      <c r="D106" s="495">
        <f>'G-2 Habitat groups'!BB94</f>
        <v>0</v>
      </c>
      <c r="E106" s="495">
        <f>'G-2 Habitat groups'!BD94</f>
        <v>0</v>
      </c>
      <c r="F106" s="495">
        <f>'G-2 Habitat groups'!BE94</f>
        <v>0</v>
      </c>
      <c r="G106" s="870"/>
      <c r="H106" s="40"/>
      <c r="I106" s="40"/>
      <c r="J106" s="40"/>
      <c r="K106" s="40"/>
      <c r="L106" s="40"/>
      <c r="M106" s="40"/>
      <c r="N106" s="40"/>
      <c r="O106" s="40"/>
    </row>
    <row r="107" spans="1:15" ht="15.75" customHeight="1" thickBot="1" x14ac:dyDescent="0.25">
      <c r="A107" s="40"/>
      <c r="B107" s="662" t="str">
        <f>'G-2 Habitat groups'!AU130</f>
        <v>Urban - Urban Tree</v>
      </c>
      <c r="C107" s="124" t="str">
        <f>'G-2 Habitat groups'!AV130</f>
        <v>Urban</v>
      </c>
      <c r="D107" s="663">
        <f>'G-2 Habitat groups'!BB130</f>
        <v>0</v>
      </c>
      <c r="E107" s="663">
        <f>'G-2 Habitat groups'!BD130</f>
        <v>0</v>
      </c>
      <c r="F107" s="480">
        <f>'G-2 Habitat groups'!BE130</f>
        <v>0</v>
      </c>
      <c r="G107" s="871"/>
      <c r="H107" s="40"/>
      <c r="I107" s="40"/>
      <c r="J107" s="40"/>
      <c r="K107" s="40"/>
      <c r="L107" s="40"/>
      <c r="M107" s="40"/>
      <c r="N107" s="40"/>
      <c r="O107" s="40"/>
    </row>
    <row r="108" spans="1:15" x14ac:dyDescent="0.2">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69">
        <f ca="1">SUM(F108:F110)</f>
        <v>3.9708946132691629</v>
      </c>
      <c r="H108" s="40"/>
      <c r="I108" s="40"/>
      <c r="J108" s="40"/>
      <c r="K108" s="40"/>
      <c r="L108" s="40"/>
      <c r="M108" s="40"/>
      <c r="N108" s="40"/>
      <c r="O108" s="40"/>
    </row>
    <row r="109" spans="1:15" x14ac:dyDescent="0.2">
      <c r="A109" s="40"/>
      <c r="B109" s="346" t="str">
        <f>'G-2 Habitat groups'!AU96</f>
        <v>Woodland and forest - Other woodland; broadleaved</v>
      </c>
      <c r="C109" s="347" t="str">
        <f>'G-2 Habitat groups'!AV96</f>
        <v>Woodland and forest</v>
      </c>
      <c r="D109" s="480">
        <f ca="1">'G-2 Habitat groups'!BB96</f>
        <v>3.9708946132691629</v>
      </c>
      <c r="E109" s="480">
        <f>'G-2 Habitat groups'!BD96</f>
        <v>0</v>
      </c>
      <c r="F109" s="480">
        <f ca="1">'G-2 Habitat groups'!BE96</f>
        <v>3.9708946132691629</v>
      </c>
      <c r="G109" s="870"/>
      <c r="H109" s="40"/>
      <c r="I109" s="40"/>
      <c r="J109" s="40"/>
      <c r="K109" s="40"/>
      <c r="L109" s="40"/>
      <c r="M109" s="40"/>
      <c r="N109" s="40"/>
      <c r="O109" s="40"/>
    </row>
    <row r="110" spans="1:15" ht="15" thickBot="1" x14ac:dyDescent="0.25">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71"/>
      <c r="H110" s="40"/>
      <c r="I110" s="40"/>
      <c r="J110" s="40"/>
      <c r="K110" s="40"/>
      <c r="L110" s="40"/>
      <c r="M110" s="40"/>
      <c r="N110" s="40"/>
      <c r="O110" s="40"/>
    </row>
    <row r="111" spans="1:15" x14ac:dyDescent="0.2">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69">
        <f>SUM(F111:F113)</f>
        <v>0</v>
      </c>
      <c r="H111" s="40"/>
      <c r="I111" s="40"/>
      <c r="J111" s="40"/>
      <c r="K111" s="40"/>
      <c r="L111" s="40"/>
      <c r="M111" s="40"/>
      <c r="N111" s="40"/>
      <c r="O111" s="40"/>
    </row>
    <row r="112" spans="1:15" x14ac:dyDescent="0.2">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0"/>
      <c r="H112" s="40"/>
      <c r="I112" s="40"/>
      <c r="J112" s="40"/>
      <c r="K112" s="40"/>
      <c r="L112" s="40"/>
      <c r="M112" s="40"/>
      <c r="N112" s="40"/>
      <c r="O112" s="40"/>
    </row>
    <row r="113" spans="1:17" ht="21" customHeight="1" thickBot="1" x14ac:dyDescent="0.25">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1"/>
      <c r="H113" s="40"/>
      <c r="I113" s="40"/>
      <c r="J113" s="40"/>
      <c r="K113" s="40"/>
      <c r="L113" s="40"/>
      <c r="M113" s="40"/>
      <c r="N113" s="40"/>
      <c r="O113" s="40"/>
    </row>
    <row r="114" spans="1:17" ht="14.45" customHeight="1" thickBot="1" x14ac:dyDescent="0.25">
      <c r="A114" s="40"/>
      <c r="B114" s="40"/>
      <c r="C114" s="40"/>
      <c r="D114" s="476">
        <f ca="1">SUM(D89:D113)</f>
        <v>164.87390405285367</v>
      </c>
      <c r="E114" s="477">
        <f>SUM(E89:E113)</f>
        <v>0</v>
      </c>
      <c r="F114" s="478">
        <f ca="1">SUM(F89:F113)</f>
        <v>164.87390405285367</v>
      </c>
      <c r="H114" s="40"/>
      <c r="I114" s="40"/>
      <c r="J114" s="40"/>
      <c r="K114" s="40"/>
      <c r="L114" s="40"/>
      <c r="M114" s="40"/>
      <c r="N114" s="40"/>
      <c r="O114" s="40"/>
    </row>
    <row r="115" spans="1:17" x14ac:dyDescent="0.2">
      <c r="A115" s="40"/>
      <c r="B115" s="40"/>
      <c r="C115" s="40"/>
      <c r="D115" s="40"/>
      <c r="E115" s="40"/>
      <c r="F115" s="40"/>
      <c r="G115" s="40"/>
      <c r="H115" s="40"/>
      <c r="I115" s="40"/>
      <c r="J115" s="40"/>
      <c r="K115" s="40"/>
      <c r="L115" s="40"/>
      <c r="M115" s="40"/>
      <c r="N115" s="40"/>
      <c r="O115" s="40"/>
      <c r="P115" s="40"/>
      <c r="Q115" s="40"/>
    </row>
    <row r="116" spans="1:17" x14ac:dyDescent="0.2">
      <c r="A116" s="40"/>
      <c r="B116" s="40"/>
      <c r="C116" s="40"/>
      <c r="D116" s="40"/>
      <c r="E116" s="40"/>
      <c r="F116" s="40"/>
      <c r="G116" s="40"/>
      <c r="H116" s="40"/>
      <c r="I116" s="40"/>
      <c r="J116" s="40"/>
      <c r="K116" s="40"/>
      <c r="L116" s="40"/>
      <c r="M116" s="40"/>
      <c r="N116" s="40"/>
      <c r="O116" s="40"/>
      <c r="P116" s="40"/>
      <c r="Q116" s="40"/>
    </row>
    <row r="117" spans="1:17" x14ac:dyDescent="0.2">
      <c r="A117" s="40"/>
      <c r="B117" s="40"/>
      <c r="C117" s="40"/>
      <c r="D117" s="40"/>
      <c r="E117" s="40"/>
      <c r="F117" s="40"/>
      <c r="G117" s="40"/>
      <c r="H117" s="40"/>
      <c r="I117" s="40"/>
      <c r="J117" s="40"/>
      <c r="K117" s="40"/>
      <c r="L117" s="40"/>
      <c r="M117" s="40"/>
      <c r="N117" s="40"/>
      <c r="O117" s="40"/>
      <c r="P117" s="40"/>
      <c r="Q117" s="40"/>
    </row>
    <row r="118" spans="1:17" x14ac:dyDescent="0.2">
      <c r="A118" s="40"/>
      <c r="B118" s="40"/>
      <c r="C118" s="40"/>
      <c r="D118" s="40"/>
      <c r="E118" s="40"/>
      <c r="F118" s="40"/>
      <c r="G118" s="40"/>
      <c r="H118" s="40"/>
      <c r="I118" s="40"/>
      <c r="J118" s="40"/>
      <c r="K118" s="40"/>
      <c r="L118" s="40"/>
      <c r="M118" s="40"/>
      <c r="N118" s="40"/>
      <c r="O118" s="40"/>
      <c r="P118" s="40"/>
      <c r="Q118" s="40"/>
    </row>
    <row r="119" spans="1:17" x14ac:dyDescent="0.2">
      <c r="A119" s="40"/>
      <c r="B119" s="40"/>
      <c r="C119" s="40"/>
      <c r="D119" s="40"/>
      <c r="E119" s="40"/>
      <c r="F119" s="40"/>
      <c r="G119" s="40"/>
      <c r="H119" s="40"/>
      <c r="I119" s="40"/>
      <c r="J119" s="40"/>
      <c r="K119" s="40"/>
      <c r="L119" s="40"/>
      <c r="M119" s="40"/>
      <c r="N119" s="40"/>
      <c r="O119" s="40"/>
      <c r="P119" s="40"/>
      <c r="Q119" s="40"/>
    </row>
    <row r="120" spans="1:17" ht="15" thickBot="1" x14ac:dyDescent="0.25">
      <c r="A120" s="40"/>
      <c r="B120" s="40"/>
      <c r="C120" s="40"/>
      <c r="D120" s="40"/>
      <c r="E120" s="40"/>
      <c r="F120" s="40"/>
      <c r="G120" s="40"/>
      <c r="H120" s="40"/>
      <c r="I120" s="40"/>
      <c r="J120" s="40"/>
      <c r="K120" s="40"/>
      <c r="L120" s="40"/>
      <c r="M120" s="40"/>
      <c r="N120" s="40"/>
      <c r="O120" s="40"/>
      <c r="P120" s="40"/>
      <c r="Q120" s="40"/>
    </row>
    <row r="121" spans="1:17" ht="26.25" thickBot="1" x14ac:dyDescent="0.25">
      <c r="A121" s="40"/>
      <c r="B121" s="863" t="s">
        <v>188</v>
      </c>
      <c r="C121" s="864"/>
      <c r="D121" s="864"/>
      <c r="E121" s="864"/>
      <c r="F121" s="864"/>
      <c r="G121" s="40"/>
      <c r="H121" s="40"/>
      <c r="I121" s="40"/>
      <c r="J121" s="40"/>
      <c r="K121" s="40"/>
      <c r="L121" s="40"/>
      <c r="M121" s="40"/>
      <c r="N121" s="40"/>
      <c r="O121" s="40"/>
    </row>
    <row r="122" spans="1:17" ht="48" thickBot="1" x14ac:dyDescent="0.35">
      <c r="A122" s="40"/>
      <c r="B122" s="93" t="s">
        <v>65</v>
      </c>
      <c r="C122" s="94" t="s">
        <v>166</v>
      </c>
      <c r="D122" s="94" t="s">
        <v>189</v>
      </c>
      <c r="E122" s="94" t="s">
        <v>168</v>
      </c>
      <c r="F122" s="94" t="s">
        <v>182</v>
      </c>
      <c r="G122" s="40"/>
      <c r="H122" s="40"/>
      <c r="I122" s="865" t="s">
        <v>190</v>
      </c>
      <c r="J122" s="866"/>
      <c r="K122" s="40"/>
      <c r="L122" s="40"/>
      <c r="M122" s="40"/>
      <c r="N122" s="40"/>
    </row>
    <row r="123" spans="1:17" x14ac:dyDescent="0.2">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191</v>
      </c>
      <c r="J123" s="487">
        <f ca="1">F159</f>
        <v>-50.984237516620723</v>
      </c>
      <c r="K123" s="40"/>
      <c r="L123" s="40"/>
      <c r="M123" s="40"/>
      <c r="N123" s="40"/>
    </row>
    <row r="124" spans="1:17" ht="15" thickBot="1" x14ac:dyDescent="0.25">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187</v>
      </c>
      <c r="J124" s="486">
        <f ca="1">J123+J91</f>
        <v>142.59954389422614</v>
      </c>
      <c r="K124" s="40"/>
      <c r="L124" s="40"/>
      <c r="M124" s="40"/>
      <c r="N124" s="40"/>
    </row>
    <row r="125" spans="1:17" x14ac:dyDescent="0.2">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2">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2">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2">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x14ac:dyDescent="0.2">
      <c r="A129" s="40"/>
      <c r="B129" s="87" t="str">
        <f>'G-2 Habitat groups'!AU116</f>
        <v>Grassland - Modified grassland</v>
      </c>
      <c r="C129" s="88" t="str">
        <f>'G-2 Habitat groups'!AV116</f>
        <v>Grassland</v>
      </c>
      <c r="D129" s="493">
        <f ca="1">'G-2 Habitat groups'!BB116</f>
        <v>-49.794907516620725</v>
      </c>
      <c r="E129" s="493">
        <f>'G-2 Habitat groups'!BD116</f>
        <v>0</v>
      </c>
      <c r="F129" s="480">
        <f ca="1">'G-2 Habitat groups'!BE116</f>
        <v>-49.794907516620725</v>
      </c>
      <c r="G129" s="40"/>
      <c r="H129" s="40"/>
      <c r="I129" s="40"/>
      <c r="J129" s="40"/>
      <c r="K129" s="40"/>
      <c r="L129" s="40"/>
      <c r="M129" s="40"/>
      <c r="N129" s="40"/>
    </row>
    <row r="130" spans="1:15" x14ac:dyDescent="0.2">
      <c r="A130" s="40"/>
      <c r="B130" s="87" t="str">
        <f>'G-2 Habitat groups'!AU117</f>
        <v>Grassland - Bracken</v>
      </c>
      <c r="C130" s="88" t="str">
        <f>'G-2 Habitat groups'!AV117</f>
        <v>Grassland</v>
      </c>
      <c r="D130" s="493">
        <f>'G-2 Habitat groups'!BB117</f>
        <v>-1.18933</v>
      </c>
      <c r="E130" s="493">
        <f>'G-2 Habitat groups'!BD117</f>
        <v>0</v>
      </c>
      <c r="F130" s="480">
        <f>'G-2 Habitat groups'!BE117</f>
        <v>-1.18933</v>
      </c>
      <c r="G130" s="40"/>
      <c r="H130" s="40"/>
      <c r="I130" s="40"/>
      <c r="J130" s="40"/>
      <c r="K130" s="40"/>
      <c r="L130" s="40"/>
      <c r="M130" s="40"/>
      <c r="N130" s="40"/>
    </row>
    <row r="131" spans="1:15" x14ac:dyDescent="0.2">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2">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2">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x14ac:dyDescent="0.2">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2">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x14ac:dyDescent="0.2">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2">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2">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2">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2">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2">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x14ac:dyDescent="0.2">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2">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2">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x14ac:dyDescent="0.2">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x14ac:dyDescent="0.2">
      <c r="A146" s="40"/>
      <c r="B146" s="87" t="str">
        <f>'G-2 Habitat groups'!AU133</f>
        <v>Urban - Vegetated garden</v>
      </c>
      <c r="C146" s="88" t="str">
        <f>'G-2 Habitat groups'!AV133</f>
        <v>Urban</v>
      </c>
      <c r="D146" s="493">
        <f>'G-2 Habitat groups'!BB133</f>
        <v>0</v>
      </c>
      <c r="E146" s="493">
        <f>'G-2 Habitat groups'!BD133</f>
        <v>0</v>
      </c>
      <c r="F146" s="480">
        <f>'G-2 Habitat groups'!BE133</f>
        <v>0</v>
      </c>
      <c r="G146" s="40"/>
      <c r="H146" s="40"/>
      <c r="I146" s="40"/>
      <c r="J146" s="40"/>
      <c r="K146" s="40"/>
      <c r="L146" s="40"/>
      <c r="M146" s="40"/>
      <c r="N146" s="40"/>
      <c r="O146" s="40"/>
    </row>
    <row r="147" spans="1:17" x14ac:dyDescent="0.2">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2">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2">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2">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2">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2">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2">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2">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2">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2">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2">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5" thickBot="1" x14ac:dyDescent="0.25">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5" thickBot="1" x14ac:dyDescent="0.25">
      <c r="A159" s="40"/>
      <c r="B159" s="40"/>
      <c r="C159" s="40"/>
      <c r="D159" s="479">
        <f ca="1">SUM(D123:D158)</f>
        <v>-50.984237516620723</v>
      </c>
      <c r="E159" s="40"/>
      <c r="F159" s="479">
        <f ca="1">SUM(F123:F158)</f>
        <v>-50.984237516620723</v>
      </c>
      <c r="G159" s="40"/>
      <c r="H159" s="40"/>
      <c r="I159" s="40"/>
      <c r="J159" s="40"/>
      <c r="K159" s="40"/>
      <c r="L159" s="40"/>
      <c r="M159" s="40"/>
      <c r="N159" s="40"/>
      <c r="O159" s="40"/>
      <c r="P159" s="40"/>
      <c r="Q159" s="40"/>
    </row>
    <row r="160" spans="1:17" x14ac:dyDescent="0.2">
      <c r="A160" s="40"/>
      <c r="G160" s="40"/>
      <c r="H160" s="40"/>
      <c r="I160" s="40"/>
      <c r="J160" s="40"/>
      <c r="K160" s="40"/>
      <c r="L160" s="40"/>
      <c r="M160" s="40"/>
      <c r="N160" s="40"/>
      <c r="O160" s="40"/>
      <c r="P160" s="40"/>
      <c r="Q160" s="40"/>
    </row>
    <row r="161" spans="1:17" hidden="1" x14ac:dyDescent="0.2">
      <c r="A161" s="40"/>
      <c r="B161" s="40"/>
      <c r="C161" s="40"/>
      <c r="D161" s="40"/>
      <c r="E161" s="40"/>
      <c r="F161" s="40"/>
      <c r="G161" s="40"/>
      <c r="H161" s="40"/>
      <c r="I161" s="40"/>
      <c r="J161" s="40"/>
      <c r="K161" s="40"/>
      <c r="L161" s="40"/>
      <c r="M161" s="40"/>
      <c r="N161" s="40"/>
      <c r="O161" s="40"/>
      <c r="P161" s="40"/>
      <c r="Q161" s="40"/>
    </row>
    <row r="162" spans="1:17" hidden="1" x14ac:dyDescent="0.2">
      <c r="A162" s="40"/>
      <c r="B162" s="40"/>
      <c r="C162" s="40"/>
      <c r="D162" s="40"/>
      <c r="E162" s="40"/>
      <c r="F162" s="40"/>
      <c r="G162" s="40"/>
      <c r="H162" s="40"/>
      <c r="I162" s="40"/>
      <c r="J162" s="40"/>
      <c r="K162" s="40"/>
      <c r="L162" s="40"/>
      <c r="M162" s="40"/>
      <c r="N162" s="40"/>
      <c r="O162" s="40"/>
      <c r="P162" s="40"/>
      <c r="Q162" s="40"/>
    </row>
    <row r="163" spans="1:17" hidden="1" x14ac:dyDescent="0.2">
      <c r="A163" s="40"/>
      <c r="B163" s="40"/>
      <c r="C163" s="40"/>
      <c r="D163" s="40"/>
      <c r="E163" s="40"/>
      <c r="F163" s="40"/>
      <c r="G163" s="40"/>
      <c r="H163" s="40"/>
      <c r="I163" s="40"/>
      <c r="J163" s="40"/>
      <c r="K163" s="40"/>
      <c r="L163" s="40"/>
      <c r="M163" s="40"/>
      <c r="N163" s="40"/>
      <c r="O163" s="40"/>
      <c r="P163" s="40"/>
      <c r="Q163" s="40"/>
    </row>
    <row r="164" spans="1:17" hidden="1" x14ac:dyDescent="0.2">
      <c r="A164" s="40"/>
      <c r="B164" s="40"/>
      <c r="C164" s="40"/>
      <c r="D164" s="40"/>
      <c r="E164" s="40"/>
      <c r="F164" s="40"/>
      <c r="G164" s="40"/>
      <c r="H164" s="40"/>
      <c r="I164" s="40"/>
      <c r="J164" s="40"/>
      <c r="K164" s="40"/>
      <c r="L164" s="40"/>
      <c r="M164" s="40"/>
      <c r="N164" s="40"/>
      <c r="O164" s="40"/>
      <c r="P164" s="40"/>
      <c r="Q164" s="40"/>
    </row>
    <row r="165" spans="1:17" hidden="1" x14ac:dyDescent="0.2">
      <c r="A165" s="40"/>
      <c r="B165" s="40"/>
      <c r="C165" s="40"/>
      <c r="D165" s="40"/>
      <c r="E165" s="40"/>
      <c r="F165" s="40"/>
      <c r="G165" s="40"/>
      <c r="H165" s="40"/>
      <c r="I165" s="40"/>
      <c r="J165" s="40"/>
      <c r="K165" s="40"/>
      <c r="L165" s="40"/>
      <c r="M165" s="40"/>
      <c r="N165" s="40"/>
      <c r="O165" s="40"/>
      <c r="P165" s="40"/>
      <c r="Q165" s="40"/>
    </row>
    <row r="166" spans="1:17" hidden="1" x14ac:dyDescent="0.2">
      <c r="A166" s="40"/>
      <c r="B166" s="40"/>
      <c r="C166" s="40"/>
      <c r="D166" s="40"/>
      <c r="E166" s="40"/>
      <c r="F166" s="40"/>
      <c r="G166" s="40"/>
      <c r="H166" s="40"/>
      <c r="I166" s="40"/>
      <c r="J166" s="40"/>
      <c r="K166" s="40"/>
      <c r="L166" s="40"/>
      <c r="M166" s="40"/>
      <c r="N166" s="40"/>
      <c r="O166" s="40"/>
      <c r="P166" s="40"/>
      <c r="Q166" s="40"/>
    </row>
    <row r="167" spans="1:17" hidden="1" x14ac:dyDescent="0.2">
      <c r="A167" s="40"/>
      <c r="B167" s="40"/>
      <c r="C167" s="40"/>
      <c r="D167" s="40"/>
      <c r="E167" s="40"/>
      <c r="F167" s="40"/>
      <c r="G167" s="40"/>
      <c r="H167" s="40"/>
      <c r="I167" s="40"/>
      <c r="J167" s="40"/>
      <c r="K167" s="40"/>
      <c r="L167" s="40"/>
      <c r="M167" s="40"/>
      <c r="N167" s="40"/>
      <c r="O167" s="40"/>
      <c r="P167" s="40"/>
      <c r="Q167" s="40"/>
    </row>
    <row r="168" spans="1:17" hidden="1" x14ac:dyDescent="0.2">
      <c r="A168" s="40"/>
      <c r="B168" s="40"/>
      <c r="C168" s="40"/>
      <c r="D168" s="40"/>
      <c r="E168" s="40"/>
      <c r="F168" s="40"/>
      <c r="G168" s="40"/>
      <c r="H168" s="40"/>
      <c r="I168" s="40"/>
      <c r="J168" s="40"/>
      <c r="K168" s="40"/>
      <c r="L168" s="40"/>
      <c r="M168" s="40"/>
      <c r="N168" s="40"/>
      <c r="O168" s="40"/>
      <c r="P168" s="40"/>
      <c r="Q168" s="40"/>
    </row>
    <row r="169" spans="1:17" hidden="1" x14ac:dyDescent="0.2">
      <c r="A169" s="40"/>
      <c r="B169" s="40"/>
      <c r="C169" s="40"/>
      <c r="D169" s="40"/>
      <c r="E169" s="40"/>
      <c r="F169" s="40"/>
      <c r="G169" s="40"/>
      <c r="H169" s="40"/>
      <c r="I169" s="40"/>
      <c r="J169" s="40"/>
      <c r="K169" s="40"/>
      <c r="L169" s="40"/>
      <c r="M169" s="40"/>
      <c r="N169" s="40"/>
      <c r="O169" s="40"/>
      <c r="P169" s="40"/>
      <c r="Q169" s="40"/>
    </row>
    <row r="170" spans="1:17" hidden="1" x14ac:dyDescent="0.2">
      <c r="A170" s="40"/>
      <c r="B170" s="40"/>
      <c r="C170" s="40"/>
      <c r="D170" s="40"/>
      <c r="E170" s="40"/>
      <c r="F170" s="40"/>
      <c r="G170" s="40"/>
      <c r="H170" s="40"/>
      <c r="I170" s="40"/>
      <c r="J170" s="40"/>
      <c r="K170" s="40"/>
      <c r="L170" s="40"/>
      <c r="M170" s="40"/>
      <c r="N170" s="40"/>
      <c r="O170" s="40"/>
      <c r="P170" s="40"/>
      <c r="Q170" s="40"/>
    </row>
    <row r="171" spans="1:17" hidden="1" x14ac:dyDescent="0.2">
      <c r="A171" s="40"/>
      <c r="B171" s="40"/>
      <c r="C171" s="40"/>
      <c r="D171" s="40"/>
      <c r="E171" s="40"/>
      <c r="F171" s="40"/>
      <c r="G171" s="40"/>
      <c r="H171" s="40"/>
      <c r="I171" s="40"/>
      <c r="J171" s="40"/>
      <c r="K171" s="40"/>
      <c r="L171" s="40"/>
      <c r="M171" s="40"/>
      <c r="N171" s="40"/>
      <c r="O171" s="40"/>
      <c r="P171" s="40"/>
      <c r="Q171" s="40"/>
    </row>
    <row r="172" spans="1:17" hidden="1" x14ac:dyDescent="0.2">
      <c r="A172" s="40"/>
      <c r="B172" s="40"/>
      <c r="C172" s="40"/>
      <c r="D172" s="40"/>
      <c r="E172" s="40"/>
      <c r="F172" s="40"/>
      <c r="G172" s="40"/>
      <c r="H172" s="40"/>
      <c r="I172" s="40"/>
      <c r="J172" s="40"/>
      <c r="K172" s="40"/>
      <c r="L172" s="40"/>
      <c r="M172" s="40"/>
      <c r="N172" s="40"/>
      <c r="O172" s="40"/>
      <c r="P172" s="40"/>
      <c r="Q172" s="40"/>
    </row>
    <row r="173" spans="1:17" hidden="1" x14ac:dyDescent="0.2">
      <c r="A173" s="40"/>
      <c r="B173" s="40"/>
      <c r="C173" s="40"/>
      <c r="D173" s="40"/>
      <c r="E173" s="40"/>
      <c r="F173" s="40"/>
      <c r="G173" s="40"/>
      <c r="H173" s="40"/>
      <c r="I173" s="40"/>
      <c r="J173" s="40"/>
      <c r="K173" s="40"/>
      <c r="L173" s="40"/>
      <c r="M173" s="40"/>
      <c r="N173" s="40"/>
      <c r="O173" s="40"/>
      <c r="P173" s="40"/>
      <c r="Q173" s="40"/>
    </row>
    <row r="174" spans="1:17" hidden="1" x14ac:dyDescent="0.2">
      <c r="A174" s="40"/>
      <c r="B174" s="40"/>
      <c r="C174" s="40"/>
      <c r="D174" s="40"/>
      <c r="E174" s="40"/>
      <c r="F174" s="40"/>
      <c r="G174" s="40"/>
      <c r="H174" s="40"/>
      <c r="I174" s="40"/>
      <c r="J174" s="40"/>
      <c r="K174" s="40"/>
      <c r="L174" s="40"/>
      <c r="M174" s="40"/>
      <c r="N174" s="40"/>
      <c r="O174" s="40"/>
      <c r="P174" s="40"/>
      <c r="Q174" s="40"/>
    </row>
    <row r="175" spans="1:17" hidden="1" x14ac:dyDescent="0.2">
      <c r="A175" s="40"/>
      <c r="B175" s="40"/>
      <c r="C175" s="40"/>
      <c r="D175" s="40"/>
      <c r="E175" s="40"/>
      <c r="F175" s="40"/>
      <c r="G175" s="40"/>
      <c r="H175" s="40"/>
      <c r="I175" s="40"/>
      <c r="J175" s="40"/>
      <c r="K175" s="40"/>
      <c r="L175" s="40"/>
      <c r="M175" s="40"/>
      <c r="N175" s="40"/>
      <c r="O175" s="40"/>
      <c r="P175" s="40"/>
      <c r="Q175" s="40"/>
    </row>
    <row r="176" spans="1:17" hidden="1" x14ac:dyDescent="0.2">
      <c r="A176" s="40"/>
      <c r="B176" s="40"/>
      <c r="C176" s="40"/>
      <c r="D176" s="40"/>
      <c r="E176" s="40"/>
      <c r="F176" s="40"/>
      <c r="G176" s="40"/>
      <c r="H176" s="40"/>
      <c r="I176" s="40"/>
      <c r="J176" s="40"/>
      <c r="K176" s="40"/>
      <c r="L176" s="40"/>
      <c r="M176" s="40"/>
      <c r="N176" s="40"/>
      <c r="O176" s="40"/>
      <c r="P176" s="40"/>
      <c r="Q176" s="40"/>
    </row>
    <row r="177" spans="1:17" hidden="1" x14ac:dyDescent="0.2">
      <c r="A177" s="40"/>
      <c r="B177" s="40"/>
      <c r="C177" s="40"/>
      <c r="D177" s="40"/>
      <c r="E177" s="40"/>
      <c r="F177" s="40"/>
      <c r="G177" s="40"/>
      <c r="H177" s="40"/>
      <c r="I177" s="40"/>
      <c r="J177" s="40"/>
      <c r="K177" s="40"/>
      <c r="L177" s="40"/>
      <c r="M177" s="40"/>
      <c r="N177" s="40"/>
      <c r="O177" s="40"/>
      <c r="P177" s="40"/>
      <c r="Q177" s="40"/>
    </row>
    <row r="178" spans="1:17" hidden="1" x14ac:dyDescent="0.2">
      <c r="A178" s="40"/>
      <c r="B178" s="40"/>
      <c r="C178" s="40"/>
      <c r="D178" s="40"/>
      <c r="E178" s="40"/>
      <c r="F178" s="40"/>
      <c r="G178" s="40"/>
      <c r="H178" s="40"/>
      <c r="I178" s="40"/>
      <c r="J178" s="40"/>
      <c r="K178" s="40"/>
      <c r="L178" s="40"/>
      <c r="M178" s="40"/>
      <c r="N178" s="40"/>
      <c r="O178" s="40"/>
      <c r="P178" s="40"/>
      <c r="Q178" s="40"/>
    </row>
    <row r="179" spans="1:17" hidden="1" x14ac:dyDescent="0.2">
      <c r="A179" s="40"/>
      <c r="B179" s="40"/>
      <c r="C179" s="40"/>
      <c r="D179" s="40"/>
      <c r="E179" s="40"/>
      <c r="F179" s="40"/>
      <c r="G179" s="40"/>
      <c r="H179" s="40"/>
      <c r="I179" s="40"/>
      <c r="J179" s="40"/>
      <c r="K179" s="40"/>
      <c r="L179" s="40"/>
      <c r="M179" s="40"/>
      <c r="N179" s="40"/>
      <c r="O179" s="40"/>
      <c r="P179" s="40"/>
      <c r="Q179" s="40"/>
    </row>
    <row r="180" spans="1:17" hidden="1" x14ac:dyDescent="0.2">
      <c r="A180" s="40"/>
      <c r="B180" s="40"/>
      <c r="C180" s="40"/>
      <c r="D180" s="40"/>
      <c r="E180" s="40"/>
      <c r="F180" s="40"/>
      <c r="G180" s="40"/>
      <c r="H180" s="40"/>
      <c r="I180" s="40"/>
      <c r="J180" s="40"/>
      <c r="K180" s="40"/>
      <c r="L180" s="40"/>
      <c r="M180" s="40"/>
      <c r="N180" s="40"/>
      <c r="O180" s="40"/>
      <c r="P180" s="40"/>
      <c r="Q180" s="40"/>
    </row>
    <row r="181" spans="1:17" hidden="1" x14ac:dyDescent="0.2">
      <c r="A181" s="40"/>
      <c r="B181" s="40"/>
      <c r="C181" s="40"/>
      <c r="D181" s="40"/>
      <c r="E181" s="40"/>
      <c r="F181" s="40"/>
      <c r="G181" s="40"/>
      <c r="H181" s="40"/>
      <c r="I181" s="40"/>
      <c r="J181" s="40"/>
      <c r="K181" s="40"/>
      <c r="L181" s="40"/>
      <c r="M181" s="40"/>
      <c r="N181" s="40"/>
      <c r="O181" s="40"/>
      <c r="P181" s="40"/>
      <c r="Q181" s="40"/>
    </row>
    <row r="182" spans="1:17" hidden="1" x14ac:dyDescent="0.2">
      <c r="A182" s="40"/>
      <c r="B182" s="40"/>
      <c r="C182" s="40"/>
      <c r="D182" s="40"/>
      <c r="E182" s="40"/>
      <c r="F182" s="40"/>
      <c r="G182" s="40"/>
      <c r="H182" s="40"/>
      <c r="I182" s="40"/>
      <c r="J182" s="40"/>
      <c r="K182" s="40"/>
      <c r="L182" s="40"/>
      <c r="M182" s="40"/>
      <c r="N182" s="40"/>
      <c r="O182" s="40"/>
      <c r="P182" s="40"/>
      <c r="Q182" s="40"/>
    </row>
    <row r="183" spans="1:17" hidden="1" x14ac:dyDescent="0.2">
      <c r="A183" s="40"/>
      <c r="B183" s="40"/>
      <c r="C183" s="40"/>
      <c r="D183" s="40"/>
      <c r="E183" s="40"/>
      <c r="F183" s="40"/>
      <c r="G183" s="40"/>
      <c r="H183" s="40"/>
      <c r="I183" s="40"/>
      <c r="J183" s="40"/>
      <c r="K183" s="40"/>
      <c r="L183" s="40"/>
      <c r="M183" s="40"/>
      <c r="N183" s="40"/>
      <c r="O183" s="40"/>
      <c r="P183" s="40"/>
      <c r="Q183" s="40"/>
    </row>
    <row r="184" spans="1:17" hidden="1" x14ac:dyDescent="0.2">
      <c r="A184" s="40"/>
      <c r="B184" s="40"/>
      <c r="C184" s="40"/>
      <c r="D184" s="40"/>
      <c r="E184" s="40"/>
      <c r="F184" s="40"/>
      <c r="G184" s="40"/>
      <c r="H184" s="40"/>
      <c r="I184" s="40"/>
      <c r="J184" s="40"/>
      <c r="K184" s="40"/>
      <c r="L184" s="40"/>
      <c r="M184" s="40"/>
      <c r="N184" s="40"/>
      <c r="O184" s="40"/>
      <c r="P184" s="40"/>
      <c r="Q184" s="40"/>
    </row>
    <row r="185" spans="1:17" hidden="1" x14ac:dyDescent="0.2">
      <c r="A185" s="40"/>
      <c r="B185" s="40"/>
      <c r="C185" s="40"/>
      <c r="D185" s="40"/>
      <c r="E185" s="40"/>
      <c r="F185" s="40"/>
      <c r="G185" s="40"/>
      <c r="H185" s="40"/>
      <c r="I185" s="40"/>
      <c r="J185" s="40"/>
      <c r="K185" s="40"/>
      <c r="L185" s="40"/>
      <c r="M185" s="40"/>
      <c r="N185" s="40"/>
      <c r="O185" s="40"/>
      <c r="P185" s="40"/>
      <c r="Q185" s="40"/>
    </row>
    <row r="186" spans="1:17" hidden="1" x14ac:dyDescent="0.2">
      <c r="A186" s="40"/>
      <c r="B186" s="40"/>
      <c r="C186" s="40"/>
      <c r="D186" s="40"/>
      <c r="E186" s="40"/>
      <c r="F186" s="40"/>
      <c r="G186" s="40"/>
      <c r="H186" s="40"/>
      <c r="I186" s="40"/>
      <c r="J186" s="40"/>
      <c r="K186" s="40"/>
      <c r="L186" s="40"/>
      <c r="M186" s="40"/>
      <c r="N186" s="40"/>
      <c r="O186" s="40"/>
      <c r="P186" s="40"/>
      <c r="Q186" s="40"/>
    </row>
    <row r="187" spans="1:17" hidden="1" x14ac:dyDescent="0.2">
      <c r="A187" s="40"/>
      <c r="B187" s="40"/>
      <c r="C187" s="40"/>
      <c r="D187" s="40"/>
      <c r="E187" s="40"/>
      <c r="F187" s="40"/>
      <c r="G187" s="40"/>
      <c r="H187" s="40"/>
      <c r="I187" s="40"/>
      <c r="J187" s="40"/>
      <c r="K187" s="40"/>
      <c r="L187" s="40"/>
      <c r="M187" s="40"/>
      <c r="N187" s="40"/>
      <c r="O187" s="40"/>
      <c r="P187" s="40"/>
      <c r="Q187" s="40"/>
    </row>
    <row r="188" spans="1:17" hidden="1" x14ac:dyDescent="0.2">
      <c r="A188" s="40"/>
      <c r="B188" s="40"/>
      <c r="C188" s="40"/>
      <c r="D188" s="40"/>
      <c r="E188" s="40"/>
      <c r="F188" s="40"/>
      <c r="G188" s="40"/>
      <c r="H188" s="40"/>
      <c r="I188" s="40"/>
      <c r="J188" s="40"/>
      <c r="K188" s="40"/>
      <c r="L188" s="40"/>
      <c r="M188" s="40"/>
      <c r="N188" s="40"/>
      <c r="O188" s="40"/>
      <c r="P188" s="40"/>
      <c r="Q188" s="40"/>
    </row>
    <row r="189" spans="1:17" hidden="1" x14ac:dyDescent="0.2">
      <c r="A189" s="40"/>
      <c r="B189" s="40"/>
      <c r="C189" s="40"/>
      <c r="D189" s="40"/>
      <c r="E189" s="40"/>
      <c r="F189" s="40"/>
      <c r="G189" s="40"/>
      <c r="H189" s="40"/>
      <c r="I189" s="40"/>
      <c r="J189" s="40"/>
      <c r="K189" s="40"/>
      <c r="L189" s="40"/>
      <c r="M189" s="40"/>
      <c r="N189" s="40"/>
      <c r="O189" s="40"/>
      <c r="P189" s="40"/>
      <c r="Q189" s="40"/>
    </row>
    <row r="190" spans="1:17" hidden="1" x14ac:dyDescent="0.2">
      <c r="A190" s="40"/>
      <c r="B190" s="40"/>
      <c r="C190" s="40"/>
      <c r="D190" s="40"/>
      <c r="E190" s="40"/>
      <c r="F190" s="40"/>
      <c r="G190" s="40"/>
      <c r="H190" s="40"/>
      <c r="I190" s="40"/>
      <c r="J190" s="40"/>
      <c r="K190" s="40"/>
      <c r="L190" s="40"/>
      <c r="M190" s="40"/>
      <c r="N190" s="40"/>
      <c r="O190" s="40"/>
      <c r="P190" s="40"/>
      <c r="Q190" s="40"/>
    </row>
    <row r="191" spans="1:17" hidden="1" x14ac:dyDescent="0.2">
      <c r="A191" s="40"/>
      <c r="B191" s="40"/>
      <c r="C191" s="40"/>
      <c r="D191" s="40"/>
      <c r="E191" s="40"/>
      <c r="F191" s="40"/>
      <c r="G191" s="40"/>
      <c r="H191" s="40"/>
      <c r="I191" s="40"/>
      <c r="J191" s="40"/>
      <c r="K191" s="40"/>
      <c r="L191" s="40"/>
      <c r="M191" s="40"/>
      <c r="N191" s="40"/>
      <c r="O191" s="40"/>
      <c r="P191" s="40"/>
      <c r="Q191" s="40"/>
    </row>
    <row r="192" spans="1:17" hidden="1" x14ac:dyDescent="0.2">
      <c r="A192" s="40"/>
      <c r="B192" s="40"/>
      <c r="C192" s="40"/>
      <c r="D192" s="40"/>
      <c r="E192" s="40"/>
      <c r="F192" s="40"/>
      <c r="G192" s="40"/>
      <c r="H192" s="40"/>
      <c r="I192" s="40"/>
      <c r="J192" s="40"/>
      <c r="K192" s="40"/>
      <c r="L192" s="40"/>
      <c r="M192" s="40"/>
      <c r="N192" s="40"/>
      <c r="O192" s="40"/>
      <c r="P192" s="40"/>
      <c r="Q192" s="40"/>
    </row>
    <row r="193" spans="1:17" hidden="1" x14ac:dyDescent="0.2">
      <c r="A193" s="40"/>
      <c r="B193" s="40"/>
      <c r="C193" s="40"/>
      <c r="D193" s="40"/>
      <c r="E193" s="40"/>
      <c r="F193" s="40"/>
      <c r="G193" s="40"/>
      <c r="H193" s="40"/>
      <c r="I193" s="40"/>
      <c r="J193" s="40"/>
      <c r="K193" s="40"/>
      <c r="L193" s="40"/>
      <c r="M193" s="40"/>
      <c r="N193" s="40"/>
      <c r="O193" s="40"/>
      <c r="P193" s="40"/>
      <c r="Q193" s="40"/>
    </row>
    <row r="194" spans="1:17" hidden="1" x14ac:dyDescent="0.2">
      <c r="A194" s="40"/>
      <c r="B194" s="40"/>
      <c r="C194" s="40"/>
      <c r="D194" s="40"/>
      <c r="E194" s="40"/>
      <c r="F194" s="40"/>
      <c r="G194" s="40"/>
      <c r="H194" s="40"/>
      <c r="I194" s="40"/>
      <c r="J194" s="40"/>
      <c r="K194" s="40"/>
      <c r="L194" s="40"/>
      <c r="M194" s="40"/>
      <c r="N194" s="40"/>
      <c r="O194" s="40"/>
      <c r="P194" s="40"/>
      <c r="Q194" s="40"/>
    </row>
    <row r="195" spans="1:17" hidden="1" x14ac:dyDescent="0.2">
      <c r="A195" s="40"/>
      <c r="B195" s="40"/>
      <c r="C195" s="40"/>
      <c r="D195" s="40"/>
      <c r="E195" s="40"/>
      <c r="F195" s="40"/>
      <c r="G195" s="40"/>
      <c r="H195" s="40"/>
      <c r="I195" s="40"/>
      <c r="J195" s="40"/>
      <c r="K195" s="40"/>
      <c r="L195" s="40"/>
      <c r="M195" s="40"/>
      <c r="N195" s="40"/>
      <c r="O195" s="40"/>
      <c r="P195" s="40"/>
      <c r="Q195" s="40"/>
    </row>
    <row r="196" spans="1:17" hidden="1" x14ac:dyDescent="0.2">
      <c r="A196" s="40"/>
      <c r="B196" s="40"/>
      <c r="C196" s="40"/>
      <c r="D196" s="40"/>
      <c r="E196" s="40"/>
      <c r="F196" s="40"/>
      <c r="G196" s="40"/>
      <c r="H196" s="40"/>
      <c r="I196" s="40"/>
      <c r="J196" s="40"/>
      <c r="K196" s="40"/>
      <c r="L196" s="40"/>
      <c r="M196" s="40"/>
      <c r="N196" s="40"/>
      <c r="O196" s="40"/>
      <c r="P196" s="40"/>
      <c r="Q196" s="40"/>
    </row>
    <row r="197" spans="1:17" hidden="1" x14ac:dyDescent="0.2">
      <c r="A197" s="40"/>
      <c r="B197" s="40"/>
      <c r="C197" s="40"/>
      <c r="D197" s="40"/>
      <c r="E197" s="40"/>
      <c r="F197" s="40"/>
      <c r="G197" s="40"/>
      <c r="H197" s="40"/>
      <c r="I197" s="40"/>
      <c r="J197" s="40"/>
      <c r="K197" s="40"/>
      <c r="L197" s="40"/>
      <c r="M197" s="40"/>
      <c r="N197" s="40"/>
      <c r="O197" s="40"/>
      <c r="P197" s="40"/>
      <c r="Q197" s="40"/>
    </row>
    <row r="198" spans="1:17" hidden="1" x14ac:dyDescent="0.2">
      <c r="A198" s="40"/>
      <c r="B198" s="40"/>
      <c r="C198" s="40"/>
      <c r="D198" s="40"/>
      <c r="E198" s="40"/>
      <c r="F198" s="40"/>
      <c r="G198" s="40"/>
      <c r="H198" s="40"/>
      <c r="I198" s="40"/>
      <c r="J198" s="40"/>
      <c r="K198" s="40"/>
      <c r="L198" s="40"/>
      <c r="M198" s="40"/>
      <c r="N198" s="40"/>
      <c r="O198" s="40"/>
      <c r="P198" s="40"/>
      <c r="Q198" s="40"/>
    </row>
    <row r="199" spans="1:17" hidden="1" x14ac:dyDescent="0.2">
      <c r="A199" s="40"/>
      <c r="B199" s="40"/>
      <c r="C199" s="40"/>
      <c r="D199" s="40"/>
      <c r="E199" s="40"/>
      <c r="F199" s="40"/>
      <c r="G199" s="40"/>
      <c r="H199" s="40"/>
      <c r="I199" s="40"/>
      <c r="J199" s="40"/>
      <c r="K199" s="40"/>
      <c r="L199" s="40"/>
      <c r="M199" s="40"/>
      <c r="N199" s="40"/>
      <c r="O199" s="40"/>
      <c r="P199" s="40"/>
      <c r="Q199" s="40"/>
    </row>
    <row r="200" spans="1:17" hidden="1" x14ac:dyDescent="0.2">
      <c r="A200" s="40"/>
      <c r="B200" s="40"/>
      <c r="C200" s="40"/>
      <c r="D200" s="40"/>
      <c r="E200" s="40"/>
      <c r="F200" s="40"/>
      <c r="G200" s="40"/>
      <c r="H200" s="40"/>
      <c r="I200" s="40"/>
      <c r="J200" s="40"/>
      <c r="K200" s="40"/>
      <c r="L200" s="40"/>
      <c r="M200" s="40"/>
      <c r="N200" s="40"/>
      <c r="O200" s="40"/>
      <c r="P200" s="40"/>
      <c r="Q200" s="40"/>
    </row>
    <row r="201" spans="1:17" hidden="1" x14ac:dyDescent="0.2">
      <c r="A201" s="40"/>
      <c r="B201" s="40"/>
      <c r="C201" s="40"/>
      <c r="D201" s="40"/>
      <c r="E201" s="40"/>
      <c r="F201" s="40"/>
      <c r="G201" s="40"/>
      <c r="H201" s="40"/>
      <c r="I201" s="40"/>
      <c r="J201" s="40"/>
      <c r="K201" s="40"/>
      <c r="L201" s="40"/>
      <c r="M201" s="40"/>
      <c r="N201" s="40"/>
      <c r="O201" s="40"/>
      <c r="P201" s="40"/>
      <c r="Q201" s="40"/>
    </row>
    <row r="202" spans="1:17" hidden="1" x14ac:dyDescent="0.2">
      <c r="A202" s="40"/>
      <c r="B202" s="40"/>
      <c r="C202" s="40"/>
      <c r="D202" s="40"/>
      <c r="E202" s="40"/>
      <c r="F202" s="40"/>
      <c r="G202" s="40"/>
      <c r="H202" s="40"/>
      <c r="I202" s="40"/>
      <c r="J202" s="40"/>
      <c r="K202" s="40"/>
      <c r="L202" s="40"/>
      <c r="M202" s="40"/>
      <c r="N202" s="40"/>
      <c r="O202" s="40"/>
      <c r="P202" s="40"/>
      <c r="Q202" s="40"/>
    </row>
    <row r="203" spans="1:17" hidden="1" x14ac:dyDescent="0.2">
      <c r="A203" s="40"/>
      <c r="B203" s="40"/>
      <c r="C203" s="40"/>
      <c r="D203" s="40"/>
      <c r="E203" s="40"/>
      <c r="F203" s="40"/>
      <c r="G203" s="40"/>
      <c r="H203" s="40"/>
      <c r="I203" s="40"/>
      <c r="J203" s="40"/>
      <c r="K203" s="40"/>
      <c r="L203" s="40"/>
      <c r="M203" s="40"/>
      <c r="N203" s="40"/>
      <c r="O203" s="40"/>
      <c r="P203" s="40"/>
      <c r="Q203" s="40"/>
    </row>
    <row r="204" spans="1:17" hidden="1" x14ac:dyDescent="0.2">
      <c r="A204" s="40"/>
      <c r="B204" s="40"/>
      <c r="C204" s="40"/>
      <c r="D204" s="40"/>
      <c r="E204" s="40"/>
      <c r="F204" s="40"/>
      <c r="G204" s="40"/>
      <c r="H204" s="40"/>
      <c r="I204" s="40"/>
      <c r="J204" s="40"/>
      <c r="K204" s="40"/>
      <c r="L204" s="40"/>
      <c r="M204" s="40"/>
      <c r="N204" s="40"/>
      <c r="O204" s="40"/>
      <c r="P204" s="40"/>
      <c r="Q204" s="40"/>
    </row>
    <row r="205" spans="1:17" hidden="1" x14ac:dyDescent="0.2">
      <c r="A205" s="40"/>
      <c r="B205" s="40"/>
      <c r="C205" s="40"/>
      <c r="D205" s="40"/>
      <c r="E205" s="40"/>
      <c r="F205" s="40"/>
      <c r="G205" s="40"/>
      <c r="H205" s="40"/>
      <c r="I205" s="40"/>
      <c r="J205" s="40"/>
      <c r="K205" s="40"/>
      <c r="L205" s="40"/>
      <c r="M205" s="40"/>
      <c r="N205" s="40"/>
      <c r="O205" s="40"/>
      <c r="P205" s="40"/>
      <c r="Q205" s="40"/>
    </row>
    <row r="206" spans="1:17" hidden="1" x14ac:dyDescent="0.2">
      <c r="A206" s="40"/>
      <c r="B206" s="40"/>
      <c r="C206" s="40"/>
      <c r="D206" s="40"/>
      <c r="E206" s="40"/>
      <c r="F206" s="40"/>
      <c r="G206" s="40"/>
      <c r="H206" s="40"/>
      <c r="I206" s="40"/>
      <c r="J206" s="40"/>
      <c r="K206" s="40"/>
      <c r="L206" s="40"/>
      <c r="M206" s="40"/>
      <c r="N206" s="40"/>
      <c r="O206" s="40"/>
      <c r="P206" s="40"/>
      <c r="Q206" s="40"/>
    </row>
    <row r="207" spans="1:17" hidden="1" x14ac:dyDescent="0.2">
      <c r="A207" s="40"/>
      <c r="B207" s="40"/>
      <c r="C207" s="40"/>
      <c r="D207" s="40"/>
      <c r="E207" s="40"/>
      <c r="F207" s="40"/>
      <c r="G207" s="40"/>
      <c r="H207" s="40"/>
      <c r="I207" s="40"/>
      <c r="J207" s="40"/>
      <c r="K207" s="40"/>
      <c r="L207" s="40"/>
      <c r="M207" s="40"/>
      <c r="N207" s="40"/>
      <c r="O207" s="40"/>
      <c r="P207" s="40"/>
      <c r="Q207" s="40"/>
    </row>
    <row r="208" spans="1:17" hidden="1" x14ac:dyDescent="0.2">
      <c r="A208" s="40"/>
      <c r="B208" s="40"/>
      <c r="C208" s="40"/>
      <c r="D208" s="40"/>
      <c r="E208" s="40"/>
      <c r="F208" s="40"/>
      <c r="G208" s="40"/>
      <c r="H208" s="40"/>
      <c r="I208" s="40"/>
      <c r="J208" s="40"/>
      <c r="K208" s="40"/>
      <c r="L208" s="40"/>
      <c r="M208" s="40"/>
      <c r="N208" s="40"/>
      <c r="O208" s="40"/>
      <c r="P208" s="40"/>
      <c r="Q208" s="40"/>
    </row>
    <row r="209" spans="1:17" hidden="1" x14ac:dyDescent="0.2">
      <c r="A209" s="40"/>
      <c r="B209" s="40"/>
      <c r="C209" s="40"/>
      <c r="D209" s="40"/>
      <c r="E209" s="40"/>
      <c r="F209" s="40"/>
      <c r="G209" s="40"/>
      <c r="H209" s="40"/>
      <c r="I209" s="40"/>
      <c r="J209" s="40"/>
      <c r="K209" s="40"/>
      <c r="L209" s="40"/>
      <c r="M209" s="40"/>
      <c r="N209" s="40"/>
      <c r="O209" s="40"/>
      <c r="P209" s="40"/>
      <c r="Q209" s="40"/>
    </row>
    <row r="210" spans="1:17" hidden="1" x14ac:dyDescent="0.2">
      <c r="A210" s="40"/>
      <c r="B210" s="40"/>
      <c r="C210" s="40"/>
      <c r="D210" s="40"/>
      <c r="E210" s="40"/>
      <c r="F210" s="40"/>
      <c r="G210" s="40"/>
      <c r="H210" s="40"/>
      <c r="I210" s="40"/>
      <c r="J210" s="40"/>
      <c r="K210" s="40"/>
      <c r="L210" s="40"/>
      <c r="M210" s="40"/>
      <c r="N210" s="40"/>
      <c r="O210" s="40"/>
      <c r="P210" s="40"/>
      <c r="Q210" s="40"/>
    </row>
    <row r="211" spans="1:17" hidden="1" x14ac:dyDescent="0.2">
      <c r="A211" s="40"/>
      <c r="B211" s="40"/>
      <c r="C211" s="40"/>
      <c r="D211" s="40"/>
      <c r="E211" s="40"/>
      <c r="F211" s="40"/>
      <c r="G211" s="40"/>
      <c r="H211" s="40"/>
      <c r="I211" s="40"/>
      <c r="J211" s="40"/>
      <c r="K211" s="40"/>
      <c r="L211" s="40"/>
      <c r="M211" s="40"/>
      <c r="N211" s="40"/>
      <c r="O211" s="40"/>
      <c r="P211" s="40"/>
      <c r="Q211" s="40"/>
    </row>
    <row r="212" spans="1:17" hidden="1" x14ac:dyDescent="0.2">
      <c r="A212" s="40"/>
      <c r="B212" s="40"/>
      <c r="C212" s="40"/>
      <c r="D212" s="40"/>
      <c r="E212" s="40"/>
      <c r="F212" s="40"/>
      <c r="G212" s="40"/>
      <c r="H212" s="40"/>
      <c r="I212" s="40"/>
      <c r="J212" s="40"/>
      <c r="K212" s="40"/>
      <c r="L212" s="40"/>
      <c r="M212" s="40"/>
      <c r="N212" s="40"/>
      <c r="O212" s="40"/>
      <c r="P212" s="40"/>
      <c r="Q212" s="40"/>
    </row>
    <row r="213" spans="1:17" hidden="1" x14ac:dyDescent="0.2">
      <c r="A213" s="40"/>
      <c r="B213" s="40"/>
      <c r="C213" s="40"/>
      <c r="D213" s="40"/>
      <c r="E213" s="40"/>
      <c r="F213" s="40"/>
      <c r="G213" s="40"/>
      <c r="H213" s="40"/>
      <c r="I213" s="40"/>
      <c r="J213" s="40"/>
      <c r="K213" s="40"/>
      <c r="L213" s="40"/>
      <c r="M213" s="40"/>
      <c r="N213" s="40"/>
      <c r="O213" s="40"/>
      <c r="P213" s="40"/>
      <c r="Q213" s="40"/>
    </row>
    <row r="214" spans="1:17" hidden="1" x14ac:dyDescent="0.2">
      <c r="A214" s="40"/>
      <c r="B214" s="40"/>
      <c r="C214" s="40"/>
      <c r="D214" s="40"/>
      <c r="E214" s="40"/>
      <c r="F214" s="40"/>
      <c r="G214" s="40"/>
      <c r="H214" s="40"/>
      <c r="I214" s="40"/>
      <c r="J214" s="40"/>
      <c r="K214" s="40"/>
      <c r="L214" s="40"/>
      <c r="M214" s="40"/>
      <c r="N214" s="40"/>
      <c r="O214" s="40"/>
      <c r="P214" s="40"/>
      <c r="Q214" s="40"/>
    </row>
    <row r="215" spans="1:17" hidden="1" x14ac:dyDescent="0.2">
      <c r="A215" s="40"/>
      <c r="B215" s="40"/>
      <c r="C215" s="40"/>
      <c r="D215" s="40"/>
      <c r="E215" s="40"/>
      <c r="F215" s="40"/>
      <c r="G215" s="40"/>
      <c r="H215" s="40"/>
      <c r="I215" s="40"/>
      <c r="J215" s="40"/>
      <c r="K215" s="40"/>
      <c r="L215" s="40"/>
      <c r="M215" s="40"/>
      <c r="N215" s="40"/>
      <c r="O215" s="40"/>
      <c r="P215" s="40"/>
      <c r="Q215" s="40"/>
    </row>
    <row r="216" spans="1:17" hidden="1" x14ac:dyDescent="0.2">
      <c r="A216" s="40"/>
      <c r="B216" s="40"/>
      <c r="C216" s="40"/>
      <c r="D216" s="40"/>
      <c r="E216" s="40"/>
      <c r="F216" s="40"/>
      <c r="G216" s="40"/>
      <c r="H216" s="40"/>
      <c r="I216" s="40"/>
      <c r="J216" s="40"/>
      <c r="K216" s="40"/>
      <c r="L216" s="40"/>
      <c r="M216" s="40"/>
      <c r="N216" s="40"/>
      <c r="O216" s="40"/>
      <c r="P216" s="40"/>
      <c r="Q216" s="40"/>
    </row>
    <row r="217" spans="1:17" hidden="1" x14ac:dyDescent="0.2">
      <c r="A217" s="40"/>
      <c r="B217" s="40"/>
      <c r="C217" s="40"/>
      <c r="D217" s="40"/>
      <c r="E217" s="40"/>
      <c r="F217" s="40"/>
      <c r="G217" s="40"/>
      <c r="H217" s="40"/>
      <c r="I217" s="40"/>
      <c r="J217" s="40"/>
      <c r="K217" s="40"/>
      <c r="L217" s="40"/>
      <c r="M217" s="40"/>
      <c r="N217" s="40"/>
      <c r="O217" s="40"/>
      <c r="P217" s="40"/>
      <c r="Q217" s="40"/>
    </row>
    <row r="218" spans="1:17" hidden="1" x14ac:dyDescent="0.2">
      <c r="A218" s="40"/>
      <c r="B218" s="40"/>
      <c r="C218" s="40"/>
      <c r="D218" s="40"/>
      <c r="E218" s="40"/>
      <c r="F218" s="40"/>
      <c r="G218" s="40"/>
      <c r="H218" s="40"/>
      <c r="I218" s="40"/>
      <c r="J218" s="40"/>
      <c r="K218" s="40"/>
      <c r="L218" s="40"/>
      <c r="M218" s="40"/>
      <c r="N218" s="40"/>
      <c r="O218" s="40"/>
      <c r="P218" s="40"/>
      <c r="Q218" s="40"/>
    </row>
    <row r="219" spans="1:17" hidden="1" x14ac:dyDescent="0.2">
      <c r="A219" s="40"/>
      <c r="B219" s="40"/>
      <c r="C219" s="40"/>
      <c r="D219" s="40"/>
      <c r="E219" s="40"/>
      <c r="F219" s="40"/>
      <c r="G219" s="40"/>
      <c r="H219" s="40"/>
      <c r="I219" s="40"/>
      <c r="J219" s="40"/>
      <c r="K219" s="40"/>
      <c r="L219" s="40"/>
      <c r="M219" s="40"/>
      <c r="N219" s="40"/>
      <c r="O219" s="40"/>
      <c r="P219" s="40"/>
      <c r="Q219" s="40"/>
    </row>
    <row r="220" spans="1:17" hidden="1" x14ac:dyDescent="0.2">
      <c r="A220" s="40"/>
      <c r="B220" s="40"/>
      <c r="C220" s="40"/>
      <c r="D220" s="40"/>
      <c r="E220" s="40"/>
      <c r="F220" s="40"/>
      <c r="G220" s="40"/>
      <c r="H220" s="40"/>
      <c r="I220" s="40"/>
      <c r="J220" s="40"/>
      <c r="K220" s="40"/>
      <c r="L220" s="40"/>
      <c r="M220" s="40"/>
      <c r="N220" s="40"/>
      <c r="O220" s="40"/>
      <c r="P220" s="40"/>
      <c r="Q220" s="40"/>
    </row>
    <row r="221" spans="1:17" hidden="1" x14ac:dyDescent="0.2">
      <c r="A221" s="40"/>
      <c r="B221" s="40"/>
      <c r="C221" s="40"/>
      <c r="D221" s="40"/>
      <c r="E221" s="40"/>
      <c r="F221" s="40"/>
      <c r="G221" s="40"/>
      <c r="H221" s="40"/>
      <c r="I221" s="40"/>
      <c r="J221" s="40"/>
      <c r="K221" s="40"/>
      <c r="L221" s="40"/>
      <c r="M221" s="40"/>
      <c r="N221" s="40"/>
      <c r="O221" s="40"/>
      <c r="P221" s="40"/>
      <c r="Q221" s="40"/>
    </row>
    <row r="222" spans="1:17" hidden="1" x14ac:dyDescent="0.2">
      <c r="A222" s="40"/>
      <c r="B222" s="40"/>
      <c r="C222" s="40"/>
      <c r="D222" s="40"/>
      <c r="E222" s="40"/>
      <c r="F222" s="40"/>
      <c r="H222" s="40"/>
      <c r="I222" s="40"/>
      <c r="J222" s="40"/>
      <c r="K222" s="40"/>
      <c r="L222" s="40"/>
      <c r="M222" s="40"/>
      <c r="N222" s="40"/>
      <c r="O222" s="40"/>
      <c r="P222" s="40"/>
      <c r="Q222" s="40"/>
    </row>
    <row r="223" spans="1:17" hidden="1" x14ac:dyDescent="0.2">
      <c r="A223" s="40"/>
      <c r="B223" s="40"/>
      <c r="C223" s="40"/>
      <c r="D223" s="40"/>
      <c r="E223" s="40"/>
      <c r="F223" s="40"/>
      <c r="H223" s="40"/>
      <c r="I223" s="40"/>
      <c r="J223" s="40"/>
      <c r="K223" s="40"/>
      <c r="L223" s="40"/>
      <c r="M223" s="40"/>
      <c r="N223" s="40"/>
      <c r="O223" s="40"/>
      <c r="P223" s="40"/>
      <c r="Q223" s="40"/>
    </row>
    <row r="224" spans="1:17" hidden="1" x14ac:dyDescent="0.2">
      <c r="A224" s="40"/>
      <c r="B224" s="40"/>
      <c r="C224" s="40"/>
      <c r="D224" s="40"/>
      <c r="E224" s="40"/>
      <c r="F224" s="40"/>
      <c r="H224" s="40"/>
      <c r="I224" s="40"/>
      <c r="J224" s="40"/>
      <c r="K224" s="40"/>
      <c r="L224" s="40"/>
      <c r="M224" s="40"/>
      <c r="N224" s="40"/>
      <c r="O224" s="40"/>
      <c r="P224" s="40"/>
      <c r="Q224" s="40"/>
    </row>
    <row r="225" spans="1:17" hidden="1" x14ac:dyDescent="0.2">
      <c r="A225" s="40"/>
      <c r="B225" s="40"/>
      <c r="C225" s="40"/>
      <c r="D225" s="40"/>
      <c r="E225" s="40"/>
      <c r="F225" s="40"/>
      <c r="H225" s="40"/>
      <c r="I225" s="40"/>
      <c r="J225" s="40"/>
      <c r="K225" s="40"/>
      <c r="L225" s="40"/>
      <c r="M225" s="40"/>
      <c r="N225" s="40"/>
      <c r="O225" s="40"/>
      <c r="P225" s="40"/>
      <c r="Q225" s="40"/>
    </row>
    <row r="226" spans="1:17" hidden="1" x14ac:dyDescent="0.2">
      <c r="A226" s="40"/>
      <c r="B226" s="40"/>
      <c r="C226" s="40"/>
      <c r="D226" s="40"/>
      <c r="E226" s="40"/>
      <c r="F226" s="40"/>
      <c r="H226" s="40"/>
      <c r="I226" s="40"/>
      <c r="J226" s="40"/>
      <c r="K226" s="40"/>
      <c r="L226" s="40"/>
      <c r="M226" s="40"/>
      <c r="N226" s="40"/>
      <c r="O226" s="40"/>
      <c r="P226" s="40"/>
      <c r="Q226" s="40"/>
    </row>
    <row r="227" spans="1:17" hidden="1" x14ac:dyDescent="0.2">
      <c r="A227" s="40"/>
      <c r="B227" s="40"/>
      <c r="C227" s="40"/>
      <c r="D227" s="40"/>
      <c r="E227" s="40"/>
      <c r="F227" s="40"/>
      <c r="H227" s="40"/>
      <c r="I227" s="40"/>
      <c r="J227" s="40"/>
      <c r="K227" s="40"/>
      <c r="L227" s="40"/>
      <c r="M227" s="40"/>
      <c r="N227" s="40"/>
      <c r="O227" s="40"/>
      <c r="P227" s="40"/>
      <c r="Q227" s="40"/>
    </row>
    <row r="228" spans="1:17" hidden="1" x14ac:dyDescent="0.2">
      <c r="A228" s="40"/>
      <c r="B228" s="40"/>
      <c r="C228" s="40"/>
      <c r="D228" s="40"/>
      <c r="E228" s="40"/>
      <c r="F228" s="40"/>
      <c r="H228" s="40"/>
      <c r="I228" s="40"/>
      <c r="J228" s="40"/>
      <c r="K228" s="40"/>
      <c r="L228" s="40"/>
      <c r="M228" s="40"/>
      <c r="N228" s="40"/>
      <c r="O228" s="40"/>
      <c r="P228" s="40"/>
      <c r="Q228" s="40"/>
    </row>
    <row r="229" spans="1:17" hidden="1" x14ac:dyDescent="0.2">
      <c r="A229" s="40"/>
      <c r="B229" s="40"/>
      <c r="C229" s="40"/>
      <c r="D229" s="40"/>
      <c r="E229" s="40"/>
      <c r="F229" s="40"/>
      <c r="H229" s="40"/>
      <c r="I229" s="40"/>
      <c r="J229" s="40"/>
      <c r="K229" s="40"/>
      <c r="L229" s="40"/>
      <c r="M229" s="40"/>
      <c r="N229" s="40"/>
      <c r="O229" s="40"/>
      <c r="P229" s="40"/>
      <c r="Q229" s="40"/>
    </row>
    <row r="230" spans="1:17" hidden="1" x14ac:dyDescent="0.2">
      <c r="A230" s="40"/>
      <c r="B230" s="40"/>
      <c r="C230" s="40"/>
      <c r="D230" s="40"/>
      <c r="E230" s="40"/>
      <c r="F230" s="40"/>
      <c r="H230" s="40"/>
      <c r="I230" s="40"/>
      <c r="J230" s="40"/>
      <c r="K230" s="40"/>
      <c r="L230" s="40"/>
      <c r="M230" s="40"/>
      <c r="N230" s="40"/>
      <c r="O230" s="40"/>
      <c r="P230" s="40"/>
      <c r="Q230" s="40"/>
    </row>
    <row r="231" spans="1:17" hidden="1" x14ac:dyDescent="0.2">
      <c r="A231" s="40"/>
      <c r="B231" s="40"/>
      <c r="C231" s="40"/>
      <c r="D231" s="40"/>
      <c r="E231" s="40"/>
      <c r="F231" s="40"/>
      <c r="H231" s="40"/>
      <c r="I231" s="40"/>
      <c r="J231" s="40"/>
      <c r="K231" s="40"/>
      <c r="L231" s="40"/>
      <c r="M231" s="40"/>
      <c r="N231" s="40"/>
      <c r="O231" s="40"/>
      <c r="P231" s="40"/>
      <c r="Q231" s="40"/>
    </row>
    <row r="232" spans="1:17" hidden="1" x14ac:dyDescent="0.2">
      <c r="A232" s="40"/>
      <c r="B232" s="40"/>
      <c r="C232" s="40"/>
      <c r="D232" s="40"/>
      <c r="E232" s="40"/>
      <c r="F232" s="40"/>
      <c r="H232" s="40"/>
      <c r="I232" s="40"/>
      <c r="J232" s="40"/>
      <c r="K232" s="40"/>
      <c r="L232" s="40"/>
      <c r="M232" s="40"/>
      <c r="N232" s="40"/>
      <c r="O232" s="40"/>
      <c r="P232" s="40"/>
      <c r="Q232" s="40"/>
    </row>
    <row r="233" spans="1:17" hidden="1" x14ac:dyDescent="0.2">
      <c r="A233" s="40"/>
      <c r="B233" s="40"/>
      <c r="C233" s="40"/>
      <c r="D233" s="40"/>
      <c r="E233" s="40"/>
      <c r="F233" s="40"/>
      <c r="H233" s="40"/>
      <c r="I233" s="40"/>
      <c r="J233" s="40"/>
      <c r="K233" s="40"/>
      <c r="L233" s="40"/>
      <c r="M233" s="40"/>
      <c r="N233" s="40"/>
      <c r="O233" s="40"/>
      <c r="P233" s="40"/>
      <c r="Q233" s="40"/>
    </row>
    <row r="234" spans="1:17" hidden="1" x14ac:dyDescent="0.2">
      <c r="A234" s="40"/>
      <c r="B234" s="40"/>
      <c r="C234" s="40"/>
      <c r="D234" s="40"/>
      <c r="E234" s="40"/>
      <c r="F234" s="40"/>
      <c r="H234" s="40"/>
      <c r="I234" s="40"/>
      <c r="J234" s="40"/>
      <c r="K234" s="40"/>
      <c r="L234" s="40"/>
      <c r="M234" s="40"/>
      <c r="N234" s="40"/>
      <c r="O234" s="40"/>
      <c r="P234" s="40"/>
      <c r="Q234" s="40"/>
    </row>
    <row r="235" spans="1:17" hidden="1" x14ac:dyDescent="0.2">
      <c r="A235" s="40"/>
      <c r="B235" s="40"/>
      <c r="C235" s="40"/>
      <c r="D235" s="40"/>
      <c r="E235" s="40"/>
      <c r="F235" s="40"/>
      <c r="H235" s="40"/>
      <c r="I235" s="40"/>
      <c r="J235" s="40"/>
      <c r="K235" s="40"/>
      <c r="L235" s="40"/>
      <c r="M235" s="40"/>
      <c r="N235" s="40"/>
      <c r="O235" s="40"/>
      <c r="P235" s="40"/>
      <c r="Q235" s="40"/>
    </row>
    <row r="236" spans="1:17" hidden="1" x14ac:dyDescent="0.2">
      <c r="A236" s="40"/>
      <c r="B236" s="40"/>
      <c r="C236" s="40"/>
      <c r="D236" s="40"/>
      <c r="E236" s="40"/>
      <c r="F236" s="40"/>
      <c r="H236" s="40"/>
      <c r="I236" s="40"/>
      <c r="J236" s="40"/>
      <c r="K236" s="40"/>
      <c r="L236" s="40"/>
      <c r="M236" s="40"/>
      <c r="N236" s="40"/>
      <c r="O236" s="40"/>
      <c r="P236" s="40"/>
      <c r="Q236" s="40"/>
    </row>
    <row r="237" spans="1:17" hidden="1" x14ac:dyDescent="0.2">
      <c r="A237" s="40"/>
      <c r="B237" s="40"/>
      <c r="C237" s="40"/>
      <c r="D237" s="40"/>
      <c r="E237" s="40"/>
      <c r="F237" s="40"/>
      <c r="H237" s="40"/>
      <c r="I237" s="40"/>
      <c r="J237" s="40"/>
      <c r="K237" s="40"/>
      <c r="L237" s="40"/>
      <c r="M237" s="40"/>
      <c r="N237" s="40"/>
      <c r="O237" s="40"/>
      <c r="P237" s="40"/>
      <c r="Q237" s="40"/>
    </row>
    <row r="238" spans="1:17" hidden="1" x14ac:dyDescent="0.2">
      <c r="A238" s="40"/>
      <c r="B238" s="40"/>
      <c r="C238" s="40"/>
      <c r="D238" s="40"/>
      <c r="E238" s="40"/>
      <c r="F238" s="40"/>
      <c r="H238" s="40"/>
      <c r="I238" s="40"/>
      <c r="J238" s="40"/>
      <c r="K238" s="40"/>
      <c r="L238" s="40"/>
      <c r="M238" s="40"/>
      <c r="N238" s="40"/>
      <c r="O238" s="40"/>
      <c r="P238" s="40"/>
      <c r="Q238" s="40"/>
    </row>
    <row r="239" spans="1:17" hidden="1" x14ac:dyDescent="0.2">
      <c r="A239" s="40"/>
      <c r="B239" s="40"/>
      <c r="C239" s="40"/>
      <c r="D239" s="40"/>
      <c r="E239" s="40"/>
      <c r="F239" s="40"/>
      <c r="H239" s="40"/>
      <c r="I239" s="40"/>
      <c r="J239" s="40"/>
      <c r="K239" s="40"/>
      <c r="L239" s="40"/>
      <c r="M239" s="40"/>
      <c r="N239" s="40"/>
      <c r="O239" s="40"/>
      <c r="P239" s="40"/>
      <c r="Q239" s="40"/>
    </row>
    <row r="240" spans="1:17" hidden="1" x14ac:dyDescent="0.2">
      <c r="A240" s="40"/>
      <c r="B240" s="40"/>
      <c r="C240" s="40"/>
      <c r="D240" s="40"/>
      <c r="E240" s="40"/>
      <c r="F240" s="40"/>
      <c r="H240" s="40"/>
      <c r="I240" s="40"/>
      <c r="J240" s="40"/>
      <c r="K240" s="40"/>
      <c r="L240" s="40"/>
      <c r="M240" s="40"/>
      <c r="N240" s="40"/>
      <c r="O240" s="40"/>
      <c r="P240" s="40"/>
      <c r="Q240" s="40"/>
    </row>
    <row r="241" spans="1:17" hidden="1" x14ac:dyDescent="0.2">
      <c r="A241" s="40"/>
      <c r="B241" s="40"/>
      <c r="C241" s="40"/>
      <c r="D241" s="40"/>
      <c r="E241" s="40"/>
      <c r="F241" s="40"/>
      <c r="H241" s="40"/>
      <c r="I241" s="40"/>
      <c r="J241" s="40"/>
      <c r="K241" s="40"/>
      <c r="L241" s="40"/>
      <c r="M241" s="40"/>
      <c r="N241" s="40"/>
      <c r="O241" s="40"/>
      <c r="P241" s="40"/>
      <c r="Q241" s="40"/>
    </row>
    <row r="242" spans="1:17" hidden="1" x14ac:dyDescent="0.2">
      <c r="A242" s="40"/>
      <c r="B242" s="40"/>
      <c r="C242" s="40"/>
      <c r="D242" s="40"/>
      <c r="E242" s="40"/>
      <c r="F242" s="40"/>
      <c r="H242" s="40"/>
      <c r="I242" s="40"/>
      <c r="J242" s="40"/>
      <c r="K242" s="40"/>
      <c r="L242" s="40"/>
      <c r="M242" s="40"/>
      <c r="N242" s="40"/>
      <c r="O242" s="40"/>
      <c r="P242" s="40"/>
      <c r="Q242" s="40"/>
    </row>
    <row r="243" spans="1:17" hidden="1" x14ac:dyDescent="0.2">
      <c r="A243" s="40"/>
      <c r="B243" s="40"/>
      <c r="C243" s="40"/>
      <c r="D243" s="40"/>
      <c r="E243" s="40"/>
      <c r="F243" s="40"/>
      <c r="H243" s="40"/>
      <c r="I243" s="40"/>
      <c r="J243" s="40"/>
      <c r="K243" s="40"/>
      <c r="L243" s="40"/>
      <c r="M243" s="40"/>
      <c r="N243" s="40"/>
      <c r="O243" s="40"/>
      <c r="P243" s="40"/>
      <c r="Q243" s="40"/>
    </row>
    <row r="244" spans="1:17" hidden="1" x14ac:dyDescent="0.2">
      <c r="A244" s="40"/>
      <c r="B244" s="40"/>
      <c r="C244" s="40"/>
      <c r="D244" s="40"/>
      <c r="E244" s="40"/>
      <c r="F244" s="40"/>
      <c r="H244" s="40"/>
      <c r="I244" s="40"/>
      <c r="J244" s="40"/>
      <c r="K244" s="40"/>
      <c r="L244" s="40"/>
      <c r="M244" s="40"/>
      <c r="N244" s="40"/>
      <c r="O244" s="40"/>
      <c r="P244" s="40"/>
      <c r="Q244" s="40"/>
    </row>
    <row r="245" spans="1:17" hidden="1" x14ac:dyDescent="0.2">
      <c r="A245" s="40"/>
      <c r="B245" s="40"/>
      <c r="C245" s="40"/>
      <c r="D245" s="40"/>
      <c r="E245" s="40"/>
      <c r="F245" s="40"/>
      <c r="H245" s="40"/>
      <c r="I245" s="40"/>
      <c r="J245" s="40"/>
      <c r="K245" s="40"/>
      <c r="L245" s="40"/>
      <c r="M245" s="40"/>
      <c r="N245" s="40"/>
      <c r="O245" s="40"/>
      <c r="P245" s="40"/>
      <c r="Q245" s="40"/>
    </row>
    <row r="246" spans="1:17" hidden="1" x14ac:dyDescent="0.2">
      <c r="A246" s="40"/>
      <c r="B246" s="40"/>
      <c r="C246" s="40"/>
      <c r="D246" s="40"/>
      <c r="E246" s="40"/>
      <c r="F246" s="40"/>
      <c r="H246" s="40"/>
      <c r="K246" s="40"/>
      <c r="L246" s="40"/>
      <c r="M246" s="40"/>
      <c r="N246" s="40"/>
      <c r="O246" s="40"/>
      <c r="P246" s="40"/>
      <c r="Q246" s="40"/>
    </row>
    <row r="247" spans="1:17" hidden="1" x14ac:dyDescent="0.2">
      <c r="A247" s="40"/>
      <c r="B247" s="40"/>
      <c r="C247" s="40"/>
      <c r="D247" s="40"/>
      <c r="E247" s="40"/>
      <c r="F247" s="40"/>
      <c r="H247" s="40"/>
      <c r="K247" s="40"/>
      <c r="L247" s="40"/>
      <c r="M247" s="40"/>
      <c r="N247" s="40"/>
      <c r="O247" s="40"/>
      <c r="P247" s="40"/>
      <c r="Q247" s="40"/>
    </row>
    <row r="248" spans="1:17" hidden="1" x14ac:dyDescent="0.2">
      <c r="A248" s="40"/>
      <c r="B248" s="40"/>
      <c r="C248" s="40"/>
      <c r="D248" s="40"/>
      <c r="E248" s="40"/>
      <c r="F248" s="40"/>
      <c r="H248" s="40"/>
      <c r="K248" s="40"/>
      <c r="L248" s="40"/>
      <c r="M248" s="40"/>
      <c r="N248" s="40"/>
      <c r="O248" s="40"/>
      <c r="P248" s="40"/>
      <c r="Q248" s="40"/>
    </row>
    <row r="249" spans="1:17" hidden="1" x14ac:dyDescent="0.2">
      <c r="A249" s="40"/>
      <c r="B249" s="40"/>
      <c r="C249" s="40"/>
      <c r="D249" s="40"/>
      <c r="E249" s="40"/>
      <c r="F249" s="40"/>
      <c r="H249" s="40"/>
      <c r="K249" s="40"/>
      <c r="L249" s="40"/>
      <c r="M249" s="40"/>
      <c r="N249" s="40"/>
      <c r="O249" s="40"/>
      <c r="P249" s="40"/>
      <c r="Q249" s="40"/>
    </row>
    <row r="250" spans="1:17" hidden="1" x14ac:dyDescent="0.2">
      <c r="A250" s="40"/>
      <c r="B250" s="40"/>
      <c r="C250" s="40"/>
      <c r="D250" s="40"/>
      <c r="E250" s="40"/>
      <c r="F250" s="40"/>
      <c r="H250" s="40"/>
      <c r="K250" s="40"/>
      <c r="L250" s="40"/>
      <c r="M250" s="40"/>
      <c r="N250" s="40"/>
      <c r="O250" s="40"/>
      <c r="P250" s="40"/>
      <c r="Q250" s="40"/>
    </row>
    <row r="251" spans="1:17" hidden="1" x14ac:dyDescent="0.2">
      <c r="A251" s="40"/>
      <c r="B251" s="40"/>
      <c r="C251" s="40"/>
      <c r="D251" s="40"/>
      <c r="E251" s="40"/>
      <c r="F251" s="40"/>
      <c r="H251" s="40"/>
      <c r="K251" s="40"/>
      <c r="L251" s="40"/>
      <c r="M251" s="40"/>
      <c r="N251" s="40"/>
      <c r="O251" s="40"/>
      <c r="P251" s="40"/>
      <c r="Q251" s="40"/>
    </row>
    <row r="252" spans="1:17" hidden="1" x14ac:dyDescent="0.2">
      <c r="A252" s="40"/>
      <c r="B252" s="40"/>
      <c r="C252" s="40"/>
      <c r="D252" s="40"/>
      <c r="E252" s="40"/>
      <c r="F252" s="40"/>
      <c r="H252" s="40"/>
      <c r="K252" s="40"/>
      <c r="L252" s="40"/>
      <c r="M252" s="40"/>
      <c r="N252" s="40"/>
      <c r="O252" s="40"/>
      <c r="P252" s="40"/>
      <c r="Q252" s="40"/>
    </row>
    <row r="253" spans="1:17" hidden="1" x14ac:dyDescent="0.2">
      <c r="A253" s="40"/>
      <c r="B253" s="40"/>
      <c r="C253" s="40"/>
      <c r="D253" s="40"/>
      <c r="E253" s="40"/>
      <c r="F253" s="40"/>
      <c r="H253" s="40"/>
      <c r="K253" s="40"/>
      <c r="L253" s="40"/>
      <c r="M253" s="40"/>
      <c r="N253" s="40"/>
      <c r="O253" s="40"/>
      <c r="P253" s="40"/>
      <c r="Q253" s="40"/>
    </row>
    <row r="254" spans="1:17" hidden="1" x14ac:dyDescent="0.2">
      <c r="A254" s="40"/>
      <c r="B254" s="40"/>
      <c r="C254" s="40"/>
      <c r="D254" s="40"/>
      <c r="E254" s="40"/>
      <c r="F254" s="40"/>
      <c r="H254" s="40"/>
      <c r="K254" s="40"/>
      <c r="L254" s="40"/>
      <c r="M254" s="40"/>
      <c r="N254" s="40"/>
      <c r="O254" s="40"/>
      <c r="P254" s="40"/>
      <c r="Q254" s="40"/>
    </row>
    <row r="255" spans="1:17" hidden="1" x14ac:dyDescent="0.2">
      <c r="A255" s="40"/>
      <c r="B255" s="40"/>
      <c r="C255" s="40"/>
      <c r="D255" s="40"/>
      <c r="E255" s="40"/>
      <c r="F255" s="40"/>
      <c r="H255" s="40"/>
      <c r="K255" s="40"/>
      <c r="L255" s="40"/>
      <c r="M255" s="40"/>
      <c r="N255" s="40"/>
      <c r="O255" s="40"/>
      <c r="P255" s="40"/>
      <c r="Q255" s="40"/>
    </row>
    <row r="256" spans="1:17" hidden="1" x14ac:dyDescent="0.2">
      <c r="A256" s="40"/>
      <c r="B256" s="40"/>
      <c r="C256" s="40"/>
      <c r="D256" s="40"/>
      <c r="E256" s="40"/>
      <c r="F256" s="40"/>
      <c r="H256" s="40"/>
      <c r="K256" s="40"/>
      <c r="L256" s="40"/>
      <c r="M256" s="40"/>
      <c r="N256" s="40"/>
      <c r="O256" s="40"/>
      <c r="P256" s="40"/>
      <c r="Q256" s="40"/>
    </row>
    <row r="257" spans="1:17" hidden="1" x14ac:dyDescent="0.2">
      <c r="A257" s="40"/>
      <c r="B257" s="40"/>
      <c r="C257" s="40"/>
      <c r="D257" s="40"/>
      <c r="E257" s="40"/>
      <c r="F257" s="40"/>
      <c r="H257" s="40"/>
      <c r="K257" s="40"/>
      <c r="L257" s="40"/>
      <c r="M257" s="40"/>
      <c r="N257" s="40"/>
      <c r="O257" s="40"/>
      <c r="P257" s="40"/>
      <c r="Q257" s="40"/>
    </row>
    <row r="258" spans="1:17" hidden="1" x14ac:dyDescent="0.2">
      <c r="A258" s="40"/>
      <c r="B258" s="40"/>
      <c r="C258" s="40"/>
      <c r="D258" s="40"/>
      <c r="E258" s="40"/>
      <c r="F258" s="40"/>
      <c r="H258" s="40"/>
      <c r="K258" s="40"/>
      <c r="L258" s="40"/>
      <c r="M258" s="40"/>
      <c r="N258" s="40"/>
      <c r="O258" s="40"/>
      <c r="P258" s="40"/>
      <c r="Q258" s="40"/>
    </row>
    <row r="259" spans="1:17" hidden="1" x14ac:dyDescent="0.2">
      <c r="A259" s="40"/>
    </row>
    <row r="260" spans="1:17" hidden="1" x14ac:dyDescent="0.2">
      <c r="A260" s="40"/>
    </row>
    <row r="261" spans="1:17" hidden="1" x14ac:dyDescent="0.2">
      <c r="A261" s="40"/>
    </row>
    <row r="262" spans="1:17" hidden="1" x14ac:dyDescent="0.2">
      <c r="A262" s="40"/>
    </row>
    <row r="263" spans="1:17" hidden="1" x14ac:dyDescent="0.2">
      <c r="A263" s="40"/>
    </row>
    <row r="264" spans="1:17" hidden="1" x14ac:dyDescent="0.2">
      <c r="A264" s="40"/>
    </row>
    <row r="265" spans="1:17" hidden="1" x14ac:dyDescent="0.2">
      <c r="A265" s="40"/>
    </row>
    <row r="266" spans="1:17" hidden="1" x14ac:dyDescent="0.2">
      <c r="A266" s="40"/>
    </row>
    <row r="267" spans="1:17" hidden="1" x14ac:dyDescent="0.2">
      <c r="A267" s="40"/>
    </row>
    <row r="268" spans="1:17" hidden="1" x14ac:dyDescent="0.2">
      <c r="A268" s="40"/>
    </row>
    <row r="269" spans="1:17" hidden="1" x14ac:dyDescent="0.2">
      <c r="A269" s="40"/>
    </row>
    <row r="270" spans="1:17" hidden="1" x14ac:dyDescent="0.2">
      <c r="A270" s="40"/>
    </row>
    <row r="271" spans="1:17" hidden="1" x14ac:dyDescent="0.2">
      <c r="A271" s="40"/>
    </row>
    <row r="272" spans="1:17" hidden="1" x14ac:dyDescent="0.2">
      <c r="A272" s="40"/>
    </row>
    <row r="273" spans="1:1" hidden="1" x14ac:dyDescent="0.2">
      <c r="A273" s="40"/>
    </row>
    <row r="274" spans="1:1" hidden="1" x14ac:dyDescent="0.2">
      <c r="A274" s="40"/>
    </row>
    <row r="275" spans="1:1" hidden="1" x14ac:dyDescent="0.2">
      <c r="A275" s="40"/>
    </row>
    <row r="276" spans="1:1" hidden="1" x14ac:dyDescent="0.2">
      <c r="A276" s="40"/>
    </row>
    <row r="277" spans="1:1" hidden="1" x14ac:dyDescent="0.2">
      <c r="A277" s="40"/>
    </row>
    <row r="278" spans="1:1" hidden="1" x14ac:dyDescent="0.2">
      <c r="A278" s="40"/>
    </row>
    <row r="279" spans="1:1" hidden="1" x14ac:dyDescent="0.2">
      <c r="A279" s="40"/>
    </row>
    <row r="280" spans="1:1" hidden="1" x14ac:dyDescent="0.2">
      <c r="A280" s="40"/>
    </row>
    <row r="281" spans="1:1" hidden="1" x14ac:dyDescent="0.2">
      <c r="A281" s="40"/>
    </row>
    <row r="282" spans="1:1" hidden="1" x14ac:dyDescent="0.2">
      <c r="A282" s="40"/>
    </row>
    <row r="283" spans="1:1" hidden="1" x14ac:dyDescent="0.2">
      <c r="A283" s="40"/>
    </row>
    <row r="284" spans="1:1" hidden="1" x14ac:dyDescent="0.2">
      <c r="A284" s="40"/>
    </row>
    <row r="285" spans="1:1" hidden="1" x14ac:dyDescent="0.2">
      <c r="A285" s="40"/>
    </row>
    <row r="286" spans="1:1" hidden="1" x14ac:dyDescent="0.2">
      <c r="A286" s="40"/>
    </row>
    <row r="287" spans="1:1" hidden="1" x14ac:dyDescent="0.2">
      <c r="A287" s="40"/>
    </row>
    <row r="288" spans="1:1" hidden="1" x14ac:dyDescent="0.2">
      <c r="A288" s="40"/>
    </row>
    <row r="289" spans="1:1" hidden="1" x14ac:dyDescent="0.2">
      <c r="A289" s="40"/>
    </row>
    <row r="290" spans="1:1" hidden="1" x14ac:dyDescent="0.2">
      <c r="A290" s="40"/>
    </row>
    <row r="291" spans="1:1" hidden="1" x14ac:dyDescent="0.2">
      <c r="A291" s="40"/>
    </row>
    <row r="292" spans="1:1" hidden="1" x14ac:dyDescent="0.2">
      <c r="A292" s="40"/>
    </row>
    <row r="293" spans="1:1" hidden="1" x14ac:dyDescent="0.2">
      <c r="A293" s="40"/>
    </row>
    <row r="294" spans="1:1" hidden="1" x14ac:dyDescent="0.2">
      <c r="A294" s="40"/>
    </row>
    <row r="295" spans="1:1" hidden="1" x14ac:dyDescent="0.2">
      <c r="A295" s="40"/>
    </row>
    <row r="296" spans="1:1" hidden="1" x14ac:dyDescent="0.2">
      <c r="A296" s="40"/>
    </row>
    <row r="297" spans="1:1" hidden="1" x14ac:dyDescent="0.2">
      <c r="A297" s="40"/>
    </row>
    <row r="298" spans="1:1" hidden="1" x14ac:dyDescent="0.2">
      <c r="A298" s="40"/>
    </row>
    <row r="299" spans="1:1" x14ac:dyDescent="0.2"/>
    <row r="300" spans="1:1" x14ac:dyDescent="0.2"/>
    <row r="301" spans="1:1" x14ac:dyDescent="0.2"/>
    <row r="302" spans="1:1" x14ac:dyDescent="0.2"/>
    <row r="303" spans="1:1" x14ac:dyDescent="0.2"/>
    <row r="304" spans="1:1" x14ac:dyDescent="0.2"/>
    <row r="305" x14ac:dyDescent="0.2"/>
    <row r="306" x14ac:dyDescent="0.2"/>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60" zoomScaleNormal="60" workbookViewId="0">
      <pane ySplit="10" topLeftCell="A11" activePane="bottomLeft" state="frozen"/>
      <selection activeCell="S28" sqref="S28"/>
      <selection pane="bottomLeft" activeCell="H11" sqref="H11:H31"/>
    </sheetView>
  </sheetViews>
  <sheetFormatPr defaultColWidth="0" defaultRowHeight="14.25" zeroHeight="1" x14ac:dyDescent="0.2"/>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5" thickBot="1" x14ac:dyDescent="0.25"/>
    <row r="2" spans="1:43" ht="18.75" thickBot="1" x14ac:dyDescent="0.25">
      <c r="D2" s="896" t="str">
        <f>IF(Start!$F$12="","",Start!$F$12)</f>
        <v>Tyting Farm Mitigation Bank</v>
      </c>
      <c r="E2" s="897"/>
      <c r="F2" s="898"/>
    </row>
    <row r="3" spans="1:43" ht="15.6" customHeight="1" x14ac:dyDescent="0.2">
      <c r="D3" s="890" t="str">
        <f ca="1">MID(CELL("filename",C1),FIND("]",CELL("filename",C1))+1,256)</f>
        <v>A-1 Site Habitat Baseline</v>
      </c>
      <c r="E3" s="891"/>
      <c r="F3" s="892"/>
      <c r="AC3" s="47" t="s">
        <v>192</v>
      </c>
      <c r="AD3" s="47" t="s">
        <v>192</v>
      </c>
      <c r="AE3" s="47" t="s">
        <v>192</v>
      </c>
      <c r="AF3" s="47" t="s">
        <v>192</v>
      </c>
      <c r="AG3" s="47" t="s">
        <v>192</v>
      </c>
      <c r="AH3" s="47" t="s">
        <v>192</v>
      </c>
      <c r="AI3" s="47" t="s">
        <v>192</v>
      </c>
      <c r="AJ3" s="47" t="s">
        <v>192</v>
      </c>
      <c r="AK3" s="47" t="s">
        <v>192</v>
      </c>
      <c r="AL3" s="47" t="s">
        <v>192</v>
      </c>
      <c r="AM3" s="47" t="s">
        <v>192</v>
      </c>
      <c r="AN3" s="47" t="s">
        <v>192</v>
      </c>
    </row>
    <row r="4" spans="1:43" ht="10.9" customHeight="1" thickBot="1" x14ac:dyDescent="0.25">
      <c r="D4" s="893"/>
      <c r="E4" s="894"/>
      <c r="F4" s="895"/>
      <c r="AF4" s="47" t="s">
        <v>193</v>
      </c>
      <c r="AG4" s="47" t="s">
        <v>193</v>
      </c>
      <c r="AH4" s="47" t="s">
        <v>193</v>
      </c>
      <c r="AI4" s="47" t="s">
        <v>193</v>
      </c>
      <c r="AJ4" s="47" t="s">
        <v>193</v>
      </c>
      <c r="AK4" s="47" t="s">
        <v>193</v>
      </c>
      <c r="AL4" s="47" t="s">
        <v>193</v>
      </c>
      <c r="AM4" s="47" t="s">
        <v>193</v>
      </c>
      <c r="AN4" s="47" t="s">
        <v>193</v>
      </c>
    </row>
    <row r="5" spans="1:43" ht="15.6" customHeight="1" x14ac:dyDescent="0.2"/>
    <row r="6" spans="1:43" ht="16.149999999999999" customHeight="1" x14ac:dyDescent="0.2"/>
    <row r="7" spans="1:43" x14ac:dyDescent="0.2"/>
    <row r="8" spans="1:43" ht="31.15" customHeight="1" thickBot="1" x14ac:dyDescent="0.25">
      <c r="D8" s="48"/>
      <c r="E8" s="48"/>
      <c r="F8" s="48"/>
    </row>
    <row r="9" spans="1:43" ht="29.45" customHeight="1" thickBot="1" x14ac:dyDescent="0.25">
      <c r="C9" s="49"/>
      <c r="D9" s="50"/>
      <c r="E9" s="899" t="s">
        <v>194</v>
      </c>
      <c r="F9" s="900"/>
      <c r="G9" s="900"/>
      <c r="H9" s="901"/>
      <c r="I9" s="899" t="s">
        <v>195</v>
      </c>
      <c r="J9" s="901"/>
      <c r="K9" s="899" t="s">
        <v>196</v>
      </c>
      <c r="L9" s="901"/>
      <c r="M9" s="899" t="s">
        <v>197</v>
      </c>
      <c r="N9" s="900"/>
      <c r="O9" s="901"/>
      <c r="P9" s="905" t="s">
        <v>198</v>
      </c>
      <c r="Q9" s="51" t="s">
        <v>199</v>
      </c>
      <c r="R9" s="52"/>
      <c r="S9" s="902" t="s">
        <v>200</v>
      </c>
      <c r="T9" s="904"/>
      <c r="U9" s="904"/>
      <c r="V9" s="904"/>
      <c r="W9" s="904"/>
      <c r="X9" s="903"/>
      <c r="Y9" s="905" t="s">
        <v>201</v>
      </c>
      <c r="Z9" s="902" t="s">
        <v>202</v>
      </c>
      <c r="AA9" s="903"/>
      <c r="AB9" s="49"/>
      <c r="AC9" s="49" t="s">
        <v>193</v>
      </c>
      <c r="AD9" s="49" t="s">
        <v>193</v>
      </c>
      <c r="AE9" s="49"/>
      <c r="AF9" s="53" t="s">
        <v>203</v>
      </c>
      <c r="AG9" s="53"/>
      <c r="AH9" s="53"/>
      <c r="AI9" s="53"/>
      <c r="AJ9" s="53"/>
      <c r="AK9" s="53" t="s">
        <v>204</v>
      </c>
      <c r="AL9" s="54"/>
      <c r="AM9" s="54"/>
      <c r="AN9" s="54"/>
      <c r="AQ9" s="47" t="s">
        <v>205</v>
      </c>
    </row>
    <row r="10" spans="1:43" ht="44.25" customHeight="1" thickBot="1" x14ac:dyDescent="0.25">
      <c r="B10" s="55" t="s">
        <v>206</v>
      </c>
      <c r="C10" s="49"/>
      <c r="D10" s="58" t="s">
        <v>207</v>
      </c>
      <c r="E10" s="630" t="s">
        <v>208</v>
      </c>
      <c r="F10" s="631" t="s">
        <v>209</v>
      </c>
      <c r="G10" s="371" t="s">
        <v>210</v>
      </c>
      <c r="H10" s="57" t="s">
        <v>211</v>
      </c>
      <c r="I10" s="59" t="s">
        <v>195</v>
      </c>
      <c r="J10" s="57" t="s">
        <v>212</v>
      </c>
      <c r="K10" s="58" t="s">
        <v>196</v>
      </c>
      <c r="L10" s="57" t="s">
        <v>212</v>
      </c>
      <c r="M10" s="58" t="s">
        <v>197</v>
      </c>
      <c r="N10" s="371" t="s">
        <v>197</v>
      </c>
      <c r="O10" s="57" t="s">
        <v>213</v>
      </c>
      <c r="P10" s="906"/>
      <c r="Q10" s="56" t="s">
        <v>214</v>
      </c>
      <c r="R10" s="52"/>
      <c r="S10" s="60" t="s">
        <v>215</v>
      </c>
      <c r="T10" s="61" t="s">
        <v>216</v>
      </c>
      <c r="U10" s="62" t="s">
        <v>217</v>
      </c>
      <c r="V10" s="62" t="s">
        <v>218</v>
      </c>
      <c r="W10" s="62" t="s">
        <v>219</v>
      </c>
      <c r="X10" s="63" t="s">
        <v>220</v>
      </c>
      <c r="Y10" s="906"/>
      <c r="Z10" s="64" t="s">
        <v>221</v>
      </c>
      <c r="AA10" s="65" t="s">
        <v>222</v>
      </c>
      <c r="AB10" s="49"/>
      <c r="AC10" s="66" t="s">
        <v>223</v>
      </c>
      <c r="AD10" s="66" t="s">
        <v>224</v>
      </c>
      <c r="AE10" s="49"/>
      <c r="AF10" s="54" t="s">
        <v>225</v>
      </c>
      <c r="AG10" s="54" t="s">
        <v>226</v>
      </c>
      <c r="AH10" s="54" t="s">
        <v>227</v>
      </c>
      <c r="AI10" s="54" t="s">
        <v>228</v>
      </c>
      <c r="AJ10" s="54"/>
      <c r="AK10" s="54" t="s">
        <v>225</v>
      </c>
      <c r="AL10" s="54" t="s">
        <v>226</v>
      </c>
      <c r="AM10" s="54" t="s">
        <v>227</v>
      </c>
      <c r="AN10" s="54"/>
    </row>
    <row r="11" spans="1:43" ht="28.5" x14ac:dyDescent="0.2">
      <c r="A11" s="47" t="str">
        <f>IFERROR(INDEX('G-1 All Habitats'!$AG$3:$AG$15,MATCH(E11,'G-1 All Habitats'!$AF$3:$AF$15,0)),"")</f>
        <v>Grassland</v>
      </c>
      <c r="B11" s="47" t="str">
        <f>IFERROR(INDEX('G-8 Condition Look up'!$I$4:$I$130,MATCH(G11,'G-8 Condition Look up'!$A$4:$A$130,0)),"")</f>
        <v>Cond1</v>
      </c>
      <c r="D11" s="67">
        <v>1</v>
      </c>
      <c r="E11" s="68" t="s">
        <v>76</v>
      </c>
      <c r="F11" s="68" t="s">
        <v>229</v>
      </c>
      <c r="G11" s="69" t="str">
        <f>IFERROR(INDEX('G-1 All Habitats'!$B$3:$B$129,MATCH(F11,'G-1 All Habitats'!$A$3:$A$129,0)),"")</f>
        <v>Grassland - Bracken</v>
      </c>
      <c r="H11" s="70">
        <v>0.5171</v>
      </c>
      <c r="I11" s="497" t="str">
        <f>IF(G11="","",VLOOKUP(G11,'G-1 All Habitats'!$B$2:$M$129,10,FALSE))</f>
        <v>Low</v>
      </c>
      <c r="J11" s="498">
        <f>IFERROR(VLOOKUP(I11,'G-1 All Habitats'!$V$3:$W$7,2,FALSE),"")</f>
        <v>2</v>
      </c>
      <c r="K11" s="71" t="s">
        <v>230</v>
      </c>
      <c r="L11" s="498">
        <f>IFERROR(INDEX('G-8 Condition Look up'!$A$3:$H$130,MATCH(G11,'G-8 Condition Look up'!$A$3:$A$130,0),MATCH(K11,'G-8 Condition Look up'!$A$3:$H$3,0)),"")</f>
        <v>1</v>
      </c>
      <c r="M11" s="71" t="s">
        <v>231</v>
      </c>
      <c r="N11" s="503" t="str">
        <f>IF(M11="","",IF(VLOOKUP(M11,'G-3 Multipliers'!$L$3:$N$6,2,FALSE)=0,"Spatial Data Missing",VLOOKUP(M11,'G-3 Multipliers'!$L$3:$N$6,2,FALSE)))</f>
        <v xml:space="preserve">High strategic significance </v>
      </c>
      <c r="O11" s="504">
        <f>IF(M11="","",IF(VLOOKUP(M11,'G-3 Multipliers'!$L$3:$N$6,3,FALSE)=0,"Spatial Data Missing ▲",VLOOKUP(M11,'G-3 Multipliers'!$L$3:$N$6,3,FALSE)))</f>
        <v>1.1499999999999999</v>
      </c>
      <c r="P11" s="505" t="str">
        <f>IFERROR(VLOOKUP(G11,'G-1 All Habitats'!$B$2:$M$129,12,FALSE),"")</f>
        <v>Same distinctiveness or better habitat required ≥</v>
      </c>
      <c r="Q11" s="512">
        <f>IFERROR(IF(P11="","",IF(AND(P11='G-1 All Habitats'!$X$3,T11&gt;0),U11+V11,IF(AND(P11='G-1 All Habitats'!$X$3,S11&gt;0),U11+V11,IF(AND(P11='G-1 All Habitats'!$X$3,AC11&gt;0),"Any Loss Unacceptable ▲",IF(AND(P11='G-1 All Habitats'!$X$3,W11&gt;0),"Any Loss Unacceptable ▲",H11*J11*L11*O11))))),"Check Data ▲")</f>
        <v>1.18933</v>
      </c>
      <c r="R11" s="50"/>
      <c r="S11" s="71">
        <v>0</v>
      </c>
      <c r="T11" s="72">
        <v>0.5171</v>
      </c>
      <c r="U11" s="510">
        <f>IFERROR(S11*J11*L11*O11,"")</f>
        <v>0</v>
      </c>
      <c r="V11" s="510">
        <f>IFERROR(T11*J11*L11*O11,"")</f>
        <v>1.18933</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0</v>
      </c>
      <c r="X11" s="514">
        <f>IFERROR(IF(H11="","",IF(H11-S11-T11=0&lt;0,"Error in Areas ▲",IF(S11+T11&gt;H11,"Error in Areas ▲",IF(AND(P11='G-1 All Habitats'!$X$3,Y11="Yes"),"Alternative Compensation ✓",IF(W11=0,0,IF(P11='G-1 All Habitats'!$X$3,"Unacceptable Loss ▲",Q11-U11-V11)))))),"Check Data ▲")</f>
        <v>0</v>
      </c>
      <c r="Y11" s="72"/>
      <c r="Z11" s="73"/>
      <c r="AA11" s="74"/>
      <c r="AC11" s="75" t="str">
        <f>IF(P11="","",IF(P11='G-1 All Habitats'!$X$3,H11-S11-T11,"None"))</f>
        <v>None</v>
      </c>
      <c r="AD11" s="76" t="str">
        <f>IFERROR(AC11*J11*L11*#REF!*O11,IF(P11="","","None"))</f>
        <v>None</v>
      </c>
      <c r="AF11" s="54" t="b">
        <f t="shared" ref="AF11:AF74" si="0">IF(G11="","",IF(S11&gt;0,TRUE,FALSE))</f>
        <v>0</v>
      </c>
      <c r="AG11" s="54" t="b">
        <f t="shared" ref="AG11:AG74" si="1">IF(H11="","",IF(T11&gt;0,TRUE,FALSE))</f>
        <v>1</v>
      </c>
      <c r="AH11" s="54" t="e">
        <f>IF(I11="","",IF(#REF!&gt;0,TRUE,FALSE))</f>
        <v>#REF!</v>
      </c>
      <c r="AI11" s="54">
        <v>1</v>
      </c>
      <c r="AJ11" s="54"/>
      <c r="AK11" s="54">
        <f t="array" ref="AK11">IFERROR(INDEX($AI$11:$AI$259, MATCH(0, IF(TRUE=$AF$11:$AF$259, COUNTIF($AK$10:$AK10, $AI$11:$AI$259), ""), 0)),"")</f>
        <v>14</v>
      </c>
      <c r="AL11" s="54">
        <f t="array" ref="AL11">IFERROR(INDEX($AI$11:$AI$259, MATCH(0, IF(TRUE=$AG$11:$AG$259, COUNTIF($AL$10:$AL10, $AI$11:$AI$259), ""), 0)),"")</f>
        <v>1</v>
      </c>
      <c r="AM11" s="54" t="str">
        <f t="array" ref="AM11">IFERROR(INDEX($AI$11:$AI$259, MATCH(0, IF(TRUE=$AH$11:$AH$259, COUNTIF($AM$10:$AM10, $AI$11:$AI$259), ""), 0)),"")</f>
        <v/>
      </c>
      <c r="AN11" s="54"/>
      <c r="AQ11" s="47">
        <f>IF(X11="Unacceptable Loss",1,0)</f>
        <v>0</v>
      </c>
    </row>
    <row r="12" spans="1:43" ht="28.5" x14ac:dyDescent="0.2">
      <c r="A12" s="47" t="str">
        <f>IFERROR(INDEX('G-1 All Habitats'!$AG$3:$AG$15,MATCH(E12,'G-1 All Habitats'!$AF$3:$AF$15,0)),"")</f>
        <v>Grassland</v>
      </c>
      <c r="B12" s="47" t="str">
        <f>IFERROR(INDEX('G-8 Condition Look up'!$I$4:$I$130,MATCH(G12,'G-8 Condition Look up'!$A$4:$A$130,0)),"")</f>
        <v>Cond4</v>
      </c>
      <c r="D12" s="77">
        <v>2</v>
      </c>
      <c r="E12" s="340" t="s">
        <v>76</v>
      </c>
      <c r="F12" s="79" t="s">
        <v>232</v>
      </c>
      <c r="G12" s="69" t="str">
        <f>IFERROR(INDEX('G-1 All Habitats'!$B$3:$B$129,MATCH(F12,'G-1 All Habitats'!$A$3:$A$129,0)),"")</f>
        <v>Grassland - Lowland calcareous grassland</v>
      </c>
      <c r="H12" s="70">
        <v>0.38300000000000001</v>
      </c>
      <c r="I12" s="497" t="str">
        <f>IF(G12="","",VLOOKUP(G12,'G-1 All Habitats'!$B$2:$M$129,10,FALSE))</f>
        <v>High</v>
      </c>
      <c r="J12" s="498">
        <f>IFERROR(VLOOKUP(I12,'G-1 All Habitats'!$V$3:$W$7,2,FALSE),"")</f>
        <v>6</v>
      </c>
      <c r="K12" s="71" t="s">
        <v>233</v>
      </c>
      <c r="L12" s="498">
        <f>IFERROR(INDEX('G-8 Condition Look up'!$A$3:$H$130,MATCH(G12,'G-8 Condition Look up'!$A$3:$A$130,0),MATCH(K12,'G-8 Condition Look up'!$A$3:$H$3,0)),"")</f>
        <v>1</v>
      </c>
      <c r="M12" s="71" t="s">
        <v>231</v>
      </c>
      <c r="N12" s="519" t="str">
        <f>IF(M12="","",IF(VLOOKUP(M12,'G-3 Multipliers'!$L$3:$N$6,2,FALSE)=0,"Spatial Data Missing",VLOOKUP(M12,'G-3 Multipliers'!$L$3:$N$6,2,FALSE)))</f>
        <v xml:space="preserve">High strategic significance </v>
      </c>
      <c r="O12" s="504">
        <f>IF(M12="","",IF(VLOOKUP(M12,'G-3 Multipliers'!$L$3:$N$6,3,FALSE)=0,"Spatial Data Missing ▲",VLOOKUP(M12,'G-3 Multipliers'!$L$3:$N$6,3,FALSE)))</f>
        <v>1.1499999999999999</v>
      </c>
      <c r="P12" s="505" t="str">
        <f>IFERROR(VLOOKUP(G12,'G-1 All Habitats'!$B$2:$M$129,12,FALSE),"")</f>
        <v>Same habitat required =</v>
      </c>
      <c r="Q12" s="512">
        <f>IFERROR(IF(P12="","",IF(AND(P12='G-1 All Habitats'!$X$3,T12&gt;0),U12+V12,IF(AND(P12='G-1 All Habitats'!$X$3,S12&gt;0),U12+V12,IF(AND(P12='G-1 All Habitats'!$X$3,AC12&gt;0),"Any Loss Unacceptable ▲",IF(AND(P12='G-1 All Habitats'!$X$3,W12&gt;0),"Any Loss Unacceptable ▲",H12*J12*L12*O12))))),"Check Data ▲")</f>
        <v>2.6427</v>
      </c>
      <c r="R12" s="50"/>
      <c r="S12" s="71">
        <v>0</v>
      </c>
      <c r="T12" s="72">
        <v>0.38300000000000001</v>
      </c>
      <c r="U12" s="510">
        <f>IFERROR(S12*J12*L12*O12,"")</f>
        <v>0</v>
      </c>
      <c r="V12" s="510">
        <f>IFERROR(T12*J12*L12*O12,"")</f>
        <v>2.6427</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0</v>
      </c>
      <c r="X12" s="514">
        <f>IFERROR(IF(H12="","",IF(H12-S12-T12=0&lt;0,"Error in Areas ▲",IF(S12+T12&gt;H12,"Error in Areas ▲",IF(AND(P12='G-1 All Habitats'!$X$3,Y12="Yes"),"Alternative Compensation ✓",IF(W12=0,0,IF(P12='G-1 All Habitats'!$X$3,"Unacceptable Loss ▲",Q12-U12-V12)))))),"Check Data ▲")</f>
        <v>0</v>
      </c>
      <c r="Y12" s="72"/>
      <c r="Z12" s="80"/>
      <c r="AA12" s="81"/>
      <c r="AC12" s="75" t="str">
        <f>IF(P12="","",IF(P12='G-1 All Habitats'!$X$3,H12-S12-T12,"None"))</f>
        <v>None</v>
      </c>
      <c r="AD12" s="76" t="str">
        <f>IFERROR(AC12*J12*L12*#REF!*O12,IF(P12="","","None"))</f>
        <v>None</v>
      </c>
      <c r="AF12" s="54" t="b">
        <f t="shared" si="0"/>
        <v>0</v>
      </c>
      <c r="AG12" s="54" t="b">
        <f t="shared" si="1"/>
        <v>1</v>
      </c>
      <c r="AH12" s="54" t="e">
        <f>IF(I12="","",IF(#REF!&gt;0,TRUE,FALSE))</f>
        <v>#REF!</v>
      </c>
      <c r="AI12" s="54">
        <v>2</v>
      </c>
      <c r="AJ12" s="54"/>
      <c r="AK12" s="54">
        <f t="array" ref="AK12">IFERROR(INDEX($AI$11:$AI$259, MATCH(0, IF(TRUE=$AF$11:$AF$259, COUNTIF($AK$10:$AK11, $AI$11:$AI$259), ""), 0)),"")</f>
        <v>15</v>
      </c>
      <c r="AL12" s="54">
        <f t="array" ref="AL12">IFERROR(INDEX($AI$11:$AI$259, MATCH(0, IF(TRUE=$AG$11:$AG$259, COUNTIF($AL$10:$AL11, $AI$11:$AI$259), ""), 0)),"")</f>
        <v>2</v>
      </c>
      <c r="AM12" s="54" t="str">
        <f t="array" ref="AM12">IFERROR(INDEX($AI$11:$AI$259, MATCH(0, IF(TRUE=$AH$11:$AH$259, COUNTIF($AM$10:$AM11, $AI$11:$AI$259), ""), 0)),"")</f>
        <v/>
      </c>
      <c r="AN12" s="54"/>
      <c r="AQ12" s="47">
        <f t="shared" ref="AQ12:AQ75" si="2">IF(X12="Unacceptable Loss",1,0)</f>
        <v>0</v>
      </c>
    </row>
    <row r="13" spans="1:43" ht="28.5" x14ac:dyDescent="0.2">
      <c r="A13" s="47" t="str">
        <f>IFERROR(INDEX('G-1 All Habitats'!$AG$3:$AG$15,MATCH(E13,'G-1 All Habitats'!$AF$3:$AF$15,0)),"")</f>
        <v>Grassland</v>
      </c>
      <c r="B13" s="47" t="str">
        <f>IFERROR(INDEX('G-8 Condition Look up'!$I$4:$I$130,MATCH(G13,'G-8 Condition Look up'!$A$4:$A$130,0)),"")</f>
        <v>Cond4</v>
      </c>
      <c r="D13" s="77">
        <v>3</v>
      </c>
      <c r="E13" s="340" t="s">
        <v>76</v>
      </c>
      <c r="F13" s="79" t="s">
        <v>232</v>
      </c>
      <c r="G13" s="69" t="str">
        <f>IFERROR(INDEX('G-1 All Habitats'!$B$3:$B$129,MATCH(F13,'G-1 All Habitats'!$A$3:$A$129,0)),"")</f>
        <v>Grassland - Lowland calcareous grassland</v>
      </c>
      <c r="H13" s="70">
        <v>7.6227999999999998</v>
      </c>
      <c r="I13" s="497" t="str">
        <f>IF(G13="","",VLOOKUP(G13,'G-1 All Habitats'!$B$2:$M$129,10,FALSE))</f>
        <v>High</v>
      </c>
      <c r="J13" s="498">
        <f>IFERROR(VLOOKUP(I13,'G-1 All Habitats'!$V$3:$W$7,2,FALSE),"")</f>
        <v>6</v>
      </c>
      <c r="K13" s="71" t="s">
        <v>233</v>
      </c>
      <c r="L13" s="498">
        <f>IFERROR(INDEX('G-8 Condition Look up'!$A$3:$H$130,MATCH(G13,'G-8 Condition Look up'!$A$3:$A$130,0),MATCH(K13,'G-8 Condition Look up'!$A$3:$H$3,0)),"")</f>
        <v>1</v>
      </c>
      <c r="M13" s="71" t="s">
        <v>231</v>
      </c>
      <c r="N13" s="519" t="str">
        <f>IF(M13="","",IF(VLOOKUP(M13,'G-3 Multipliers'!$L$3:$N$6,2,FALSE)=0,"Spatial Data Missing",VLOOKUP(M13,'G-3 Multipliers'!$L$3:$N$6,2,FALSE)))</f>
        <v xml:space="preserve">High strategic significance </v>
      </c>
      <c r="O13" s="504">
        <f>IF(M13="","",IF(VLOOKUP(M13,'G-3 Multipliers'!$L$3:$N$6,3,FALSE)=0,"Spatial Data Missing ▲",VLOOKUP(M13,'G-3 Multipliers'!$L$3:$N$6,3,FALSE)))</f>
        <v>1.1499999999999999</v>
      </c>
      <c r="P13" s="505" t="str">
        <f>IFERROR(VLOOKUP(G13,'G-1 All Habitats'!$B$2:$M$129,12,FALSE),"")</f>
        <v>Same habitat required =</v>
      </c>
      <c r="Q13" s="512">
        <f>IFERROR(IF(P13="","",IF(AND(P13='G-1 All Habitats'!$X$3,T13&gt;0),U13+V13,IF(AND(P13='G-1 All Habitats'!$X$3,S13&gt;0),U13+V13,IF(AND(P13='G-1 All Habitats'!$X$3,AC13&gt;0),"Any Loss Unacceptable ▲",IF(AND(P13='G-1 All Habitats'!$X$3,W13&gt;0),"Any Loss Unacceptable ▲",H13*J13*L13*O13))))),"Check Data ▲")</f>
        <v>52.597319999999996</v>
      </c>
      <c r="R13" s="50"/>
      <c r="S13" s="71">
        <v>0</v>
      </c>
      <c r="T13" s="72">
        <v>7.6227999999999998</v>
      </c>
      <c r="U13" s="510">
        <f t="shared" ref="U13:U76" si="3">IFERROR(S13*J13*L13*O13,"")</f>
        <v>0</v>
      </c>
      <c r="V13" s="510">
        <f t="shared" ref="V13:V76" si="4">IFERROR(T13*J13*L13*O13,"")</f>
        <v>52.597319999999996</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0</v>
      </c>
      <c r="X13" s="514">
        <f>IFERROR(IF(H13="","",IF(H13-S13-T13=0&lt;0,"Error in Areas ▲",IF(S13+T13&gt;H13,"Error in Areas ▲",IF(AND(P13='G-1 All Habitats'!$X$3,Y13="Yes"),"Alternative Compensation ✓",IF(W13=0,0,IF(P13='G-1 All Habitats'!$X$3,"Unacceptable Loss ▲",Q13-U13-V13)))))),"Check Data ▲")</f>
        <v>0</v>
      </c>
      <c r="Y13" s="72"/>
      <c r="Z13" s="80"/>
      <c r="AA13" s="81"/>
      <c r="AC13" s="75" t="str">
        <f>IF(P13="","",IF(P13='G-1 All Habitats'!$X$3,H13-S13-T13,"None"))</f>
        <v>None</v>
      </c>
      <c r="AD13" s="76" t="str">
        <f>IFERROR(AC13*J13*L13*#REF!*O13,IF(P13="","","None"))</f>
        <v>None</v>
      </c>
      <c r="AF13" s="54" t="b">
        <f t="shared" si="0"/>
        <v>0</v>
      </c>
      <c r="AG13" s="54" t="b">
        <f t="shared" si="1"/>
        <v>1</v>
      </c>
      <c r="AH13" s="54" t="e">
        <f>IF(I13="","",IF(#REF!&gt;0,TRUE,FALSE))</f>
        <v>#REF!</v>
      </c>
      <c r="AI13" s="54">
        <v>3</v>
      </c>
      <c r="AJ13" s="54"/>
      <c r="AK13" s="54">
        <f t="array" ref="AK13">IFERROR(INDEX($AI$11:$AI$259, MATCH(0, IF(TRUE=$AF$11:$AF$259, COUNTIF($AK$10:$AK12, $AI$11:$AI$259), ""), 0)),"")</f>
        <v>17</v>
      </c>
      <c r="AL13" s="54">
        <f t="array" ref="AL13">IFERROR(INDEX($AI$11:$AI$259, MATCH(0, IF(TRUE=$AG$11:$AG$259, COUNTIF($AL$10:$AL12, $AI$11:$AI$259), ""), 0)),"")</f>
        <v>3</v>
      </c>
      <c r="AM13" s="54" t="str">
        <f t="array" ref="AM13">IFERROR(INDEX($AI$11:$AI$259, MATCH(0, IF(TRUE=$AH$11:$AH$259, COUNTIF($AM$10:$AM12, $AI$11:$AI$259), ""), 0)),"")</f>
        <v/>
      </c>
      <c r="AN13" s="54"/>
      <c r="AQ13" s="47">
        <f t="shared" si="2"/>
        <v>0</v>
      </c>
    </row>
    <row r="14" spans="1:43" ht="28.5" x14ac:dyDescent="0.2">
      <c r="A14" s="47" t="str">
        <f>IFERROR(INDEX('G-1 All Habitats'!$AG$3:$AG$15,MATCH(E14,'G-1 All Habitats'!$AF$3:$AF$15,0)),"")</f>
        <v>Grassland</v>
      </c>
      <c r="B14" s="47" t="str">
        <f>IFERROR(INDEX('G-8 Condition Look up'!$I$4:$I$130,MATCH(G14,'G-8 Condition Look up'!$A$4:$A$130,0)),"")</f>
        <v>Cond4</v>
      </c>
      <c r="D14" s="77">
        <v>4</v>
      </c>
      <c r="E14" s="79" t="s">
        <v>76</v>
      </c>
      <c r="F14" s="79" t="s">
        <v>234</v>
      </c>
      <c r="G14" s="69" t="str">
        <f>IFERROR(INDEX('G-1 All Habitats'!$B$3:$B$129,MATCH(F14,'G-1 All Habitats'!$A$3:$A$129,0)),"")</f>
        <v>Grassland - Modified grassland</v>
      </c>
      <c r="H14" s="70">
        <v>10.0351</v>
      </c>
      <c r="I14" s="497" t="str">
        <f>IF(G14="","",VLOOKUP(G14,'G-1 All Habitats'!$B$2:$M$129,10,FALSE))</f>
        <v>Low</v>
      </c>
      <c r="J14" s="498">
        <f>IFERROR(VLOOKUP(I14,'G-1 All Habitats'!$V$3:$W$7,2,FALSE),"")</f>
        <v>2</v>
      </c>
      <c r="K14" s="71" t="s">
        <v>26</v>
      </c>
      <c r="L14" s="498">
        <f>IFERROR(INDEX('G-8 Condition Look up'!$A$3:$H$130,MATCH(G14,'G-8 Condition Look up'!$A$3:$A$130,0),MATCH(K14,'G-8 Condition Look up'!$A$3:$H$3,0)),"")</f>
        <v>2</v>
      </c>
      <c r="M14" s="71" t="s">
        <v>231</v>
      </c>
      <c r="N14" s="519" t="str">
        <f>IF(M14="","",IF(VLOOKUP(M14,'G-3 Multipliers'!$L$3:$N$6,2,FALSE)=0,"Spatial Data Missing",VLOOKUP(M14,'G-3 Multipliers'!$L$3:$N$6,2,FALSE)))</f>
        <v xml:space="preserve">High strategic significance </v>
      </c>
      <c r="O14" s="504">
        <f>IF(M14="","",IF(VLOOKUP(M14,'G-3 Multipliers'!$L$3:$N$6,3,FALSE)=0,"Spatial Data Missing ▲",VLOOKUP(M14,'G-3 Multipliers'!$L$3:$N$6,3,FALSE)))</f>
        <v>1.1499999999999999</v>
      </c>
      <c r="P14" s="505" t="str">
        <f>IFERROR(VLOOKUP(G14,'G-1 All Habitats'!$B$2:$M$129,12,FALSE),"")</f>
        <v>Same distinctiveness or better habitat required ≥</v>
      </c>
      <c r="Q14" s="512">
        <f>IFERROR(IF(P14="","",IF(AND(P14='G-1 All Habitats'!$X$3,T14&gt;0),U14+V14,IF(AND(P14='G-1 All Habitats'!$X$3,S14&gt;0),U14+V14,IF(AND(P14='G-1 All Habitats'!$X$3,AC14&gt;0),"Any Loss Unacceptable ▲",IF(AND(P14='G-1 All Habitats'!$X$3,W14&gt;0),"Any Loss Unacceptable ▲",H14*J14*L14*O14))))),"Check Data ▲")</f>
        <v>46.161459999999998</v>
      </c>
      <c r="R14" s="50"/>
      <c r="S14" s="71">
        <v>0</v>
      </c>
      <c r="T14" s="72">
        <v>10.0351</v>
      </c>
      <c r="U14" s="510">
        <f t="shared" si="3"/>
        <v>0</v>
      </c>
      <c r="V14" s="510">
        <f t="shared" si="4"/>
        <v>46.161459999999998</v>
      </c>
      <c r="W14" s="510">
        <f>IF(E14="","",IF(H14&lt;S14+T14,"Error in Areas ▲",IF(P14&lt;&gt;'G-1 All Habitats'!$X$3,H14-S14-T14,IF(AND(P14='G-1 All Habitats'!$X$3,Y14="Yes"),"Unacceptable Loss",IF(AND(P14='G-1 All Habitats'!$X$3,Y14="No"),AC14,IF(AND(P14='G-1 All Habitats'!$X$3,Y14=""),AC14,IF(AND(P14='G-1 All Habitats'!$X$3,AC14="None",AC14),IF(AND(P14='G-1 All Habitats'!$X$3,AC14&gt;0),H14-S14-T14))))))))</f>
        <v>0</v>
      </c>
      <c r="X14" s="514">
        <f>IFERROR(IF(H14="","",IF(H14-S14-T14=0&lt;0,"Error in Areas ▲",IF(S14+T14&gt;H14,"Error in Areas ▲",IF(AND(P14='G-1 All Habitats'!$X$3,Y14="Yes"),"Alternative Compensation ✓",IF(W14=0,0,IF(P14='G-1 All Habitats'!$X$3,"Unacceptable Loss ▲",Q14-U14-V14)))))),"Check Data ▲")</f>
        <v>0</v>
      </c>
      <c r="Y14" s="72"/>
      <c r="Z14" s="80"/>
      <c r="AA14" s="81"/>
      <c r="AC14" s="75" t="str">
        <f>IF(P14="","",IF(P14='G-1 All Habitats'!$X$3,H14-S14-T14,"None"))</f>
        <v>None</v>
      </c>
      <c r="AD14" s="76" t="str">
        <f>IFERROR(AC14*J14*L14*#REF!*O14,IF(P14="","","None"))</f>
        <v>None</v>
      </c>
      <c r="AF14" s="54" t="b">
        <f t="shared" si="0"/>
        <v>0</v>
      </c>
      <c r="AG14" s="54" t="b">
        <f t="shared" si="1"/>
        <v>1</v>
      </c>
      <c r="AH14" s="54" t="e">
        <f>IF(I14="","",IF(#REF!&gt;0,TRUE,FALSE))</f>
        <v>#REF!</v>
      </c>
      <c r="AI14" s="54">
        <v>4</v>
      </c>
      <c r="AJ14" s="54"/>
      <c r="AK14" s="54">
        <f t="array" ref="AK14">IFERROR(INDEX($AI$11:$AI$259, MATCH(0, IF(TRUE=$AF$11:$AF$259, COUNTIF($AK$10:$AK13, $AI$11:$AI$259), ""), 0)),"")</f>
        <v>20</v>
      </c>
      <c r="AL14" s="54">
        <f t="array" ref="AL14">IFERROR(INDEX($AI$11:$AI$259, MATCH(0, IF(TRUE=$AG$11:$AG$259, COUNTIF($AL$10:$AL13, $AI$11:$AI$259), ""), 0)),"")</f>
        <v>4</v>
      </c>
      <c r="AM14" s="54" t="str">
        <f t="array" ref="AM14">IFERROR(INDEX($AI$11:$AI$259, MATCH(0, IF(TRUE=$AH$11:$AH$259, COUNTIF($AM$10:$AM13, $AI$11:$AI$259), ""), 0)),"")</f>
        <v/>
      </c>
      <c r="AN14" s="54"/>
      <c r="AQ14" s="47">
        <f t="shared" si="2"/>
        <v>0</v>
      </c>
    </row>
    <row r="15" spans="1:43" ht="28.5" x14ac:dyDescent="0.2">
      <c r="A15" s="47" t="str">
        <f>IFERROR(INDEX('G-1 All Habitats'!$AG$3:$AG$15,MATCH(E15,'G-1 All Habitats'!$AF$3:$AF$15,0)),"")</f>
        <v>Grassland</v>
      </c>
      <c r="B15" s="47" t="str">
        <f>IFERROR(INDEX('G-8 Condition Look up'!$I$4:$I$130,MATCH(G15,'G-8 Condition Look up'!$A$4:$A$130,0)),"")</f>
        <v>Cond4</v>
      </c>
      <c r="D15" s="77">
        <v>5</v>
      </c>
      <c r="E15" s="340" t="s">
        <v>76</v>
      </c>
      <c r="F15" s="79" t="s">
        <v>234</v>
      </c>
      <c r="G15" s="69" t="str">
        <f>IFERROR(INDEX('G-1 All Habitats'!$B$3:$B$129,MATCH(F15,'G-1 All Habitats'!$A$3:$A$129,0)),"")</f>
        <v>Grassland - Modified grassland</v>
      </c>
      <c r="H15" s="70">
        <v>0.8871</v>
      </c>
      <c r="I15" s="497" t="str">
        <f>IF(G15="","",VLOOKUP(G15,'G-1 All Habitats'!$B$2:$M$129,10,FALSE))</f>
        <v>Low</v>
      </c>
      <c r="J15" s="498">
        <f>IFERROR(VLOOKUP(I15,'G-1 All Habitats'!$V$3:$W$7,2,FALSE),"")</f>
        <v>2</v>
      </c>
      <c r="K15" s="71" t="s">
        <v>26</v>
      </c>
      <c r="L15" s="498">
        <f>IFERROR(INDEX('G-8 Condition Look up'!$A$3:$H$130,MATCH(G15,'G-8 Condition Look up'!$A$3:$A$130,0),MATCH(K15,'G-8 Condition Look up'!$A$3:$H$3,0)),"")</f>
        <v>2</v>
      </c>
      <c r="M15" s="71" t="s">
        <v>231</v>
      </c>
      <c r="N15" s="519" t="str">
        <f>IF(M15="","",IF(VLOOKUP(M15,'G-3 Multipliers'!$L$3:$N$6,2,FALSE)=0,"Spatial Data Missing",VLOOKUP(M15,'G-3 Multipliers'!$L$3:$N$6,2,FALSE)))</f>
        <v xml:space="preserve">High strategic significance </v>
      </c>
      <c r="O15" s="504">
        <f>IF(M15="","",IF(VLOOKUP(M15,'G-3 Multipliers'!$L$3:$N$6,3,FALSE)=0,"Spatial Data Missing ▲",VLOOKUP(M15,'G-3 Multipliers'!$L$3:$N$6,3,FALSE)))</f>
        <v>1.1499999999999999</v>
      </c>
      <c r="P15" s="505" t="str">
        <f>IFERROR(VLOOKUP(G15,'G-1 All Habitats'!$B$2:$M$129,12,FALSE),"")</f>
        <v>Same distinctiveness or better habitat required ≥</v>
      </c>
      <c r="Q15" s="512">
        <f>IFERROR(IF(P15="","",IF(AND(P15='G-1 All Habitats'!$X$3,T15&gt;0),U15+V15,IF(AND(P15='G-1 All Habitats'!$X$3,S15&gt;0),U15+V15,IF(AND(P15='G-1 All Habitats'!$X$3,AC15&gt;0),"Any Loss Unacceptable ▲",IF(AND(P15='G-1 All Habitats'!$X$3,W15&gt;0),"Any Loss Unacceptable ▲",H15*J15*L15*O15))))),"Check Data ▲")</f>
        <v>4.08066</v>
      </c>
      <c r="R15" s="50"/>
      <c r="S15" s="71">
        <v>0</v>
      </c>
      <c r="T15" s="72">
        <v>0.8871</v>
      </c>
      <c r="U15" s="510">
        <f t="shared" si="3"/>
        <v>0</v>
      </c>
      <c r="V15" s="510">
        <f t="shared" si="4"/>
        <v>4.08066</v>
      </c>
      <c r="W15" s="510">
        <f>IF(E15="","",IF(H15&lt;S15+T15,"Error in Areas ▲",IF(P15&lt;&gt;'G-1 All Habitats'!$X$3,H15-S15-T15,IF(AND(P15='G-1 All Habitats'!$X$3,Y15="Yes"),"Unacceptable Loss",IF(AND(P15='G-1 All Habitats'!$X$3,Y15="No"),AC15,IF(AND(P15='G-1 All Habitats'!$X$3,Y15=""),AC15,IF(AND(P15='G-1 All Habitats'!$X$3,AC15="None",AC15),IF(AND(P15='G-1 All Habitats'!$X$3,AC15&gt;0),H15-S15-T15))))))))</f>
        <v>0</v>
      </c>
      <c r="X15" s="514">
        <f>IFERROR(IF(H15="","",IF(H15-S15-T15=0&lt;0,"Error in Areas ▲",IF(S15+T15&gt;H15,"Error in Areas ▲",IF(AND(P15='G-1 All Habitats'!$X$3,Y15="Yes"),"Alternative Compensation ✓",IF(W15=0,0,IF(P15='G-1 All Habitats'!$X$3,"Unacceptable Loss ▲",Q15-U15-V15)))))),"Check Data ▲")</f>
        <v>0</v>
      </c>
      <c r="Y15" s="72"/>
      <c r="Z15" s="80"/>
      <c r="AA15" s="81"/>
      <c r="AC15" s="75" t="str">
        <f>IF(P15="","",IF(P15='G-1 All Habitats'!$X$3,H15-S15-T15,"None"))</f>
        <v>None</v>
      </c>
      <c r="AD15" s="76" t="str">
        <f>IFERROR(AC15*J15*L15*#REF!*O15,IF(P15="","","None"))</f>
        <v>None</v>
      </c>
      <c r="AF15" s="54" t="b">
        <f t="shared" si="0"/>
        <v>0</v>
      </c>
      <c r="AG15" s="54" t="b">
        <f t="shared" si="1"/>
        <v>1</v>
      </c>
      <c r="AH15" s="54" t="e">
        <f>IF(I15="","",IF(#REF!&gt;0,TRUE,FALSE))</f>
        <v>#REF!</v>
      </c>
      <c r="AI15" s="54">
        <v>5</v>
      </c>
      <c r="AJ15" s="54"/>
      <c r="AK15" s="54">
        <f t="array" ref="AK15">IFERROR(INDEX($AI$11:$AI$259, MATCH(0, IF(TRUE=$AF$11:$AF$259, COUNTIF($AK$10:$AK14, $AI$11:$AI$259), ""), 0)),"")</f>
        <v>21</v>
      </c>
      <c r="AL15" s="54">
        <f t="array" ref="AL15">IFERROR(INDEX($AI$11:$AI$259, MATCH(0, IF(TRUE=$AG$11:$AG$259, COUNTIF($AL$10:$AL14, $AI$11:$AI$259), ""), 0)),"")</f>
        <v>5</v>
      </c>
      <c r="AM15" s="54" t="str">
        <f t="array" ref="AM15">IFERROR(INDEX($AI$11:$AI$259, MATCH(0, IF(TRUE=$AH$11:$AH$259, COUNTIF($AM$10:$AM14, $AI$11:$AI$259), ""), 0)),"")</f>
        <v/>
      </c>
      <c r="AN15" s="54"/>
      <c r="AQ15" s="47">
        <f t="shared" si="2"/>
        <v>0</v>
      </c>
    </row>
    <row r="16" spans="1:43" ht="28.5" x14ac:dyDescent="0.2">
      <c r="A16" s="47" t="str">
        <f>IFERROR(INDEX('G-1 All Habitats'!$AG$3:$AG$15,MATCH(E16,'G-1 All Habitats'!$AF$3:$AF$15,0)),"")</f>
        <v>Grassland</v>
      </c>
      <c r="B16" s="47" t="str">
        <f>IFERROR(INDEX('G-8 Condition Look up'!$I$4:$I$130,MATCH(G16,'G-8 Condition Look up'!$A$4:$A$130,0)),"")</f>
        <v>Cond4</v>
      </c>
      <c r="D16" s="77">
        <v>6</v>
      </c>
      <c r="E16" s="79" t="s">
        <v>76</v>
      </c>
      <c r="F16" s="79" t="s">
        <v>234</v>
      </c>
      <c r="G16" s="69" t="str">
        <f>IFERROR(INDEX('G-1 All Habitats'!$B$3:$B$129,MATCH(F16,'G-1 All Habitats'!$A$3:$A$129,0)),"")</f>
        <v>Grassland - Modified grassland</v>
      </c>
      <c r="H16" s="70">
        <v>0.16589999999999999</v>
      </c>
      <c r="I16" s="497" t="str">
        <f>IF(G16="","",VLOOKUP(G16,'G-1 All Habitats'!$B$2:$M$129,10,FALSE))</f>
        <v>Low</v>
      </c>
      <c r="J16" s="498">
        <f>IFERROR(VLOOKUP(I16,'G-1 All Habitats'!$V$3:$W$7,2,FALSE),"")</f>
        <v>2</v>
      </c>
      <c r="K16" s="71" t="s">
        <v>233</v>
      </c>
      <c r="L16" s="498">
        <f>IFERROR(INDEX('G-8 Condition Look up'!$A$3:$H$130,MATCH(G16,'G-8 Condition Look up'!$A$3:$A$130,0),MATCH(K16,'G-8 Condition Look up'!$A$3:$H$3,0)),"")</f>
        <v>1</v>
      </c>
      <c r="M16" s="71" t="s">
        <v>231</v>
      </c>
      <c r="N16" s="519" t="str">
        <f>IF(M16="","",IF(VLOOKUP(M16,'G-3 Multipliers'!$L$3:$N$6,2,FALSE)=0,"Spatial Data Missing",VLOOKUP(M16,'G-3 Multipliers'!$L$3:$N$6,2,FALSE)))</f>
        <v xml:space="preserve">High strategic significance </v>
      </c>
      <c r="O16" s="504">
        <f>IF(M16="","",IF(VLOOKUP(M16,'G-3 Multipliers'!$L$3:$N$6,3,FALSE)=0,"Spatial Data Missing ▲",VLOOKUP(M16,'G-3 Multipliers'!$L$3:$N$6,3,FALSE)))</f>
        <v>1.1499999999999999</v>
      </c>
      <c r="P16" s="505" t="str">
        <f>IFERROR(VLOOKUP(G16,'G-1 All Habitats'!$B$2:$M$129,12,FALSE),"")</f>
        <v>Same distinctiveness or better habitat required ≥</v>
      </c>
      <c r="Q16" s="512">
        <f>IFERROR(IF(P16="","",IF(AND(P16='G-1 All Habitats'!$X$3,T16&gt;0),U16+V16,IF(AND(P16='G-1 All Habitats'!$X$3,S16&gt;0),U16+V16,IF(AND(P16='G-1 All Habitats'!$X$3,AC16&gt;0),"Any Loss Unacceptable ▲",IF(AND(P16='G-1 All Habitats'!$X$3,W16&gt;0),"Any Loss Unacceptable ▲",H16*J16*L16*O16))))),"Check Data ▲")</f>
        <v>0.38156999999999996</v>
      </c>
      <c r="R16" s="50"/>
      <c r="S16" s="71">
        <v>0</v>
      </c>
      <c r="T16" s="72">
        <v>0.16589999999999999</v>
      </c>
      <c r="U16" s="510">
        <f t="shared" si="3"/>
        <v>0</v>
      </c>
      <c r="V16" s="510">
        <f t="shared" si="4"/>
        <v>0.38156999999999996</v>
      </c>
      <c r="W16" s="510">
        <f>IF(E16="","",IF(H16&lt;S16+T16,"Error in Areas ▲",IF(P16&lt;&gt;'G-1 All Habitats'!$X$3,H16-S16-T16,IF(AND(P16='G-1 All Habitats'!$X$3,Y16="Yes"),"Unacceptable Loss",IF(AND(P16='G-1 All Habitats'!$X$3,Y16="No"),AC16,IF(AND(P16='G-1 All Habitats'!$X$3,Y16=""),AC16,IF(AND(P16='G-1 All Habitats'!$X$3,AC16="None",AC16),IF(AND(P16='G-1 All Habitats'!$X$3,AC16&gt;0),H16-S16-T16))))))))</f>
        <v>0</v>
      </c>
      <c r="X16" s="514">
        <f>IFERROR(IF(H16="","",IF(H16-S16-T16=0&lt;0,"Error in Areas ▲",IF(S16+T16&gt;H16,"Error in Areas ▲",IF(AND(P16='G-1 All Habitats'!$X$3,Y16="Yes"),"Alternative Compensation ✓",IF(W16=0,0,IF(P16='G-1 All Habitats'!$X$3,"Unacceptable Loss ▲",Q16-U16-V16)))))),"Check Data ▲")</f>
        <v>0</v>
      </c>
      <c r="Y16" s="72"/>
      <c r="Z16" s="80"/>
      <c r="AA16" s="81"/>
      <c r="AC16" s="75" t="str">
        <f>IF(P16="","",IF(P16='G-1 All Habitats'!$X$3,H16-S16-T16,"None"))</f>
        <v>None</v>
      </c>
      <c r="AD16" s="76" t="str">
        <f>IFERROR(AC16*J16*L16*#REF!*O16,IF(P16="","","None"))</f>
        <v>None</v>
      </c>
      <c r="AF16" s="54" t="b">
        <f t="shared" si="0"/>
        <v>0</v>
      </c>
      <c r="AG16" s="54" t="b">
        <f t="shared" si="1"/>
        <v>1</v>
      </c>
      <c r="AH16" s="54" t="e">
        <f>IF(I16="","",IF(#REF!&gt;0,TRUE,FALSE))</f>
        <v>#REF!</v>
      </c>
      <c r="AI16" s="54">
        <v>6</v>
      </c>
      <c r="AJ16" s="54"/>
      <c r="AK16" s="54" t="str">
        <f t="array" ref="AK16">IFERROR(INDEX($AI$11:$AI$259, MATCH(0, IF(TRUE=$AF$11:$AF$259, COUNTIF($AK$10:$AK15, $AI$11:$AI$259), ""), 0)),"")</f>
        <v/>
      </c>
      <c r="AL16" s="54">
        <f t="array" ref="AL16">IFERROR(INDEX($AI$11:$AI$259, MATCH(0, IF(TRUE=$AG$11:$AG$259, COUNTIF($AL$10:$AL15, $AI$11:$AI$259), ""), 0)),"")</f>
        <v>6</v>
      </c>
      <c r="AM16" s="54" t="str">
        <f t="array" ref="AM16">IFERROR(INDEX($AI$11:$AI$259, MATCH(0, IF(TRUE=$AH$11:$AH$259, COUNTIF($AM$10:$AM15, $AI$11:$AI$259), ""), 0)),"")</f>
        <v/>
      </c>
      <c r="AN16" s="54"/>
      <c r="AQ16" s="47">
        <f t="shared" si="2"/>
        <v>0</v>
      </c>
    </row>
    <row r="17" spans="1:43" ht="42.75" x14ac:dyDescent="0.2">
      <c r="A17" s="47" t="str">
        <f>IFERROR(INDEX('G-1 All Habitats'!$AG$3:$AG$15,MATCH(E17,'G-1 All Habitats'!$AF$3:$AF$15,0)),"")</f>
        <v>Grassland</v>
      </c>
      <c r="B17" s="47" t="str">
        <f>IFERROR(INDEX('G-8 Condition Look up'!$I$4:$I$130,MATCH(G17,'G-8 Condition Look up'!$A$4:$A$130,0)),"")</f>
        <v>Cond4</v>
      </c>
      <c r="D17" s="77">
        <v>7</v>
      </c>
      <c r="E17" s="341" t="s">
        <v>76</v>
      </c>
      <c r="F17" s="79" t="s">
        <v>235</v>
      </c>
      <c r="G17" s="69" t="str">
        <f>IFERROR(INDEX('G-1 All Habitats'!$B$3:$B$129,MATCH(F17,'G-1 All Habitats'!$A$3:$A$129,0)),"")</f>
        <v>Grassland - Other lowland acid grassland</v>
      </c>
      <c r="H17" s="70">
        <v>0.20749999999999999</v>
      </c>
      <c r="I17" s="497" t="str">
        <f>IF(G17="","",VLOOKUP(G17,'G-1 All Habitats'!$B$2:$M$129,10,FALSE))</f>
        <v>Medium</v>
      </c>
      <c r="J17" s="498">
        <f>IFERROR(VLOOKUP(I17,'G-1 All Habitats'!$V$3:$W$7,2,FALSE),"")</f>
        <v>4</v>
      </c>
      <c r="K17" s="71" t="s">
        <v>233</v>
      </c>
      <c r="L17" s="498">
        <f>IFERROR(INDEX('G-8 Condition Look up'!$A$3:$H$130,MATCH(G17,'G-8 Condition Look up'!$A$3:$A$130,0),MATCH(K17,'G-8 Condition Look up'!$A$3:$H$3,0)),"")</f>
        <v>1</v>
      </c>
      <c r="M17" s="71" t="s">
        <v>231</v>
      </c>
      <c r="N17" s="519" t="str">
        <f>IF(M17="","",IF(VLOOKUP(M17,'G-3 Multipliers'!$L$3:$N$6,2,FALSE)=0,"Spatial Data Missing",VLOOKUP(M17,'G-3 Multipliers'!$L$3:$N$6,2,FALSE)))</f>
        <v xml:space="preserve">High strategic significance </v>
      </c>
      <c r="O17" s="504">
        <f>IF(M17="","",IF(VLOOKUP(M17,'G-3 Multipliers'!$L$3:$N$6,3,FALSE)=0,"Spatial Data Missing ▲",VLOOKUP(M17,'G-3 Multipliers'!$L$3:$N$6,3,FALSE)))</f>
        <v>1.1499999999999999</v>
      </c>
      <c r="P17" s="505" t="str">
        <f>IFERROR(VLOOKUP(G17,'G-1 All Habitats'!$B$2:$M$129,12,FALSE),"")</f>
        <v>Same broad habitat or a higher distinctiveness habitat required (≥)</v>
      </c>
      <c r="Q17" s="512">
        <f>IFERROR(IF(P17="","",IF(AND(P17='G-1 All Habitats'!$X$3,T17&gt;0),U17+V17,IF(AND(P17='G-1 All Habitats'!$X$3,S17&gt;0),U17+V17,IF(AND(P17='G-1 All Habitats'!$X$3,AC17&gt;0),"Any Loss Unacceptable ▲",IF(AND(P17='G-1 All Habitats'!$X$3,W17&gt;0),"Any Loss Unacceptable ▲",H17*J17*L17*O17))))),"Check Data ▲")</f>
        <v>0.9544999999999999</v>
      </c>
      <c r="R17" s="50"/>
      <c r="S17" s="71">
        <v>0</v>
      </c>
      <c r="T17" s="72">
        <v>0.20749999999999999</v>
      </c>
      <c r="U17" s="510">
        <f t="shared" si="3"/>
        <v>0</v>
      </c>
      <c r="V17" s="510">
        <f t="shared" si="4"/>
        <v>0.9544999999999999</v>
      </c>
      <c r="W17" s="510">
        <f>IF(E17="","",IF(H17&lt;S17+T17,"Error in Areas ▲",IF(P17&lt;&gt;'G-1 All Habitats'!$X$3,H17-S17-T17,IF(AND(P17='G-1 All Habitats'!$X$3,Y17="Yes"),"Unacceptable Loss",IF(AND(P17='G-1 All Habitats'!$X$3,Y17="No"),AC17,IF(AND(P17='G-1 All Habitats'!$X$3,Y17=""),AC17,IF(AND(P17='G-1 All Habitats'!$X$3,AC17="None",AC17),IF(AND(P17='G-1 All Habitats'!$X$3,AC17&gt;0),H17-S17-T17))))))))</f>
        <v>0</v>
      </c>
      <c r="X17" s="514">
        <f>IFERROR(IF(H17="","",IF(H17-S17-T17=0&lt;0,"Error in Areas ▲",IF(S17+T17&gt;H17,"Error in Areas ▲",IF(AND(P17='G-1 All Habitats'!$X$3,Y17="Yes"),"Alternative Compensation ✓",IF(W17=0,0,IF(P17='G-1 All Habitats'!$X$3,"Unacceptable Loss ▲",Q17-U17-V17)))))),"Check Data ▲")</f>
        <v>0</v>
      </c>
      <c r="Y17" s="72"/>
      <c r="Z17" s="80"/>
      <c r="AA17" s="81"/>
      <c r="AC17" s="75" t="str">
        <f>IF(P17="","",IF(P17='G-1 All Habitats'!$X$3,H17-S17-T17,"None"))</f>
        <v>None</v>
      </c>
      <c r="AD17" s="76" t="str">
        <f>IFERROR(AC17*J17*L17*#REF!*O17,IF(P17="","","None"))</f>
        <v>None</v>
      </c>
      <c r="AF17" s="54" t="b">
        <f t="shared" si="0"/>
        <v>0</v>
      </c>
      <c r="AG17" s="54" t="b">
        <f t="shared" si="1"/>
        <v>1</v>
      </c>
      <c r="AH17" s="54" t="e">
        <f>IF(I17="","",IF(#REF!&gt;0,TRUE,FALSE))</f>
        <v>#REF!</v>
      </c>
      <c r="AI17" s="54">
        <v>7</v>
      </c>
      <c r="AJ17" s="54"/>
      <c r="AK17" s="54" t="str">
        <f t="array" ref="AK17">IFERROR(INDEX($AI$11:$AI$259, MATCH(0, IF(TRUE=$AF$11:$AF$259, COUNTIF($AK$10:$AK16, $AI$11:$AI$259), ""), 0)),"")</f>
        <v/>
      </c>
      <c r="AL17" s="54">
        <f t="array" ref="AL17">IFERROR(INDEX($AI$11:$AI$259, MATCH(0, IF(TRUE=$AG$11:$AG$259, COUNTIF($AL$10:$AL16, $AI$11:$AI$259), ""), 0)),"")</f>
        <v>7</v>
      </c>
      <c r="AM17" s="54" t="str">
        <f t="array" ref="AM17">IFERROR(INDEX($AI$11:$AI$259, MATCH(0, IF(TRUE=$AH$11:$AH$259, COUNTIF($AM$10:$AM16, $AI$11:$AI$259), ""), 0)),"")</f>
        <v/>
      </c>
      <c r="AN17" s="54"/>
      <c r="AQ17" s="47">
        <f t="shared" si="2"/>
        <v>0</v>
      </c>
    </row>
    <row r="18" spans="1:43" ht="42.75" x14ac:dyDescent="0.2">
      <c r="A18" s="47" t="str">
        <f>IFERROR(INDEX('G-1 All Habitats'!$AG$3:$AG$15,MATCH(E18,'G-1 All Habitats'!$AF$3:$AF$15,0)),"")</f>
        <v>Grassland</v>
      </c>
      <c r="B18" s="47" t="str">
        <f>IFERROR(INDEX('G-8 Condition Look up'!$I$4:$I$130,MATCH(G18,'G-8 Condition Look up'!$A$4:$A$130,0)),"")</f>
        <v>Cond4</v>
      </c>
      <c r="D18" s="77">
        <v>8</v>
      </c>
      <c r="E18" s="79" t="s">
        <v>76</v>
      </c>
      <c r="F18" s="79" t="s">
        <v>235</v>
      </c>
      <c r="G18" s="69" t="str">
        <f>IFERROR(INDEX('G-1 All Habitats'!$B$3:$B$129,MATCH(F18,'G-1 All Habitats'!$A$3:$A$129,0)),"")</f>
        <v>Grassland - Other lowland acid grassland</v>
      </c>
      <c r="H18" s="70">
        <v>0.44479999999999997</v>
      </c>
      <c r="I18" s="497" t="str">
        <f>IF(G18="","",VLOOKUP(G18,'G-1 All Habitats'!$B$2:$M$129,10,FALSE))</f>
        <v>Medium</v>
      </c>
      <c r="J18" s="498">
        <f>IFERROR(VLOOKUP(I18,'G-1 All Habitats'!$V$3:$W$7,2,FALSE),"")</f>
        <v>4</v>
      </c>
      <c r="K18" s="71" t="s">
        <v>233</v>
      </c>
      <c r="L18" s="498">
        <f>IFERROR(INDEX('G-8 Condition Look up'!$A$3:$H$130,MATCH(G18,'G-8 Condition Look up'!$A$3:$A$130,0),MATCH(K18,'G-8 Condition Look up'!$A$3:$H$3,0)),"")</f>
        <v>1</v>
      </c>
      <c r="M18" s="71" t="s">
        <v>231</v>
      </c>
      <c r="N18" s="519" t="str">
        <f>IF(M18="","",IF(VLOOKUP(M18,'G-3 Multipliers'!$L$3:$N$6,2,FALSE)=0,"Spatial Data Missing",VLOOKUP(M18,'G-3 Multipliers'!$L$3:$N$6,2,FALSE)))</f>
        <v xml:space="preserve">High strategic significance </v>
      </c>
      <c r="O18" s="504">
        <f>IF(M18="","",IF(VLOOKUP(M18,'G-3 Multipliers'!$L$3:$N$6,3,FALSE)=0,"Spatial Data Missing ▲",VLOOKUP(M18,'G-3 Multipliers'!$L$3:$N$6,3,FALSE)))</f>
        <v>1.1499999999999999</v>
      </c>
      <c r="P18" s="505" t="str">
        <f>IFERROR(VLOOKUP(G18,'G-1 All Habitats'!$B$2:$M$129,12,FALSE),"")</f>
        <v>Same broad habitat or a higher distinctiveness habitat required (≥)</v>
      </c>
      <c r="Q18" s="512">
        <f>IFERROR(IF(P18="","",IF(AND(P18='G-1 All Habitats'!$X$3,T18&gt;0),U18+V18,IF(AND(P18='G-1 All Habitats'!$X$3,S18&gt;0),U18+V18,IF(AND(P18='G-1 All Habitats'!$X$3,AC18&gt;0),"Any Loss Unacceptable ▲",IF(AND(P18='G-1 All Habitats'!$X$3,W18&gt;0),"Any Loss Unacceptable ▲",H18*J18*L18*O18))))),"Check Data ▲")</f>
        <v>2.0460799999999999</v>
      </c>
      <c r="R18" s="50"/>
      <c r="S18" s="71">
        <v>0</v>
      </c>
      <c r="T18" s="72">
        <v>0.44479999999999997</v>
      </c>
      <c r="U18" s="510">
        <f t="shared" si="3"/>
        <v>0</v>
      </c>
      <c r="V18" s="510">
        <f t="shared" si="4"/>
        <v>2.0460799999999999</v>
      </c>
      <c r="W18" s="510">
        <f>IF(E18="","",IF(H18&lt;S18+T18,"Error in Areas ▲",IF(P18&lt;&gt;'G-1 All Habitats'!$X$3,H18-S18-T18,IF(AND(P18='G-1 All Habitats'!$X$3,Y18="Yes"),"Unacceptable Loss",IF(AND(P18='G-1 All Habitats'!$X$3,Y18="No"),AC18,IF(AND(P18='G-1 All Habitats'!$X$3,Y18=""),AC18,IF(AND(P18='G-1 All Habitats'!$X$3,AC18="None",AC18),IF(AND(P18='G-1 All Habitats'!$X$3,AC18&gt;0),H18-S18-T18))))))))</f>
        <v>0</v>
      </c>
      <c r="X18" s="514">
        <f>IFERROR(IF(H18="","",IF(H18-S18-T18=0&lt;0,"Error in Areas ▲",IF(S18+T18&gt;H18,"Error in Areas ▲",IF(AND(P18='G-1 All Habitats'!$X$3,Y18="Yes"),"Alternative Compensation ✓",IF(W18=0,0,IF(P18='G-1 All Habitats'!$X$3,"Unacceptable Loss ▲",Q18-U18-V18)))))),"Check Data ▲")</f>
        <v>0</v>
      </c>
      <c r="Y18" s="72"/>
      <c r="Z18" s="80"/>
      <c r="AA18" s="81"/>
      <c r="AC18" s="75" t="str">
        <f>IF(P18="","",IF(P18='G-1 All Habitats'!$X$3,H18-S18-T18,"None"))</f>
        <v>None</v>
      </c>
      <c r="AD18" s="76" t="str">
        <f>IFERROR(AC18*J18*L18*#REF!*O18,IF(P18="","","None"))</f>
        <v>None</v>
      </c>
      <c r="AF18" s="54" t="b">
        <f t="shared" si="0"/>
        <v>0</v>
      </c>
      <c r="AG18" s="54" t="b">
        <f t="shared" si="1"/>
        <v>1</v>
      </c>
      <c r="AH18" s="54" t="e">
        <f>IF(I18="","",IF(#REF!&gt;0,TRUE,FALSE))</f>
        <v>#REF!</v>
      </c>
      <c r="AI18" s="54">
        <v>8</v>
      </c>
      <c r="AJ18" s="54"/>
      <c r="AK18" s="54" t="str">
        <f t="array" ref="AK18">IFERROR(INDEX($AI$11:$AI$259, MATCH(0, IF(TRUE=$AF$11:$AF$259, COUNTIF($AK$10:$AK17, $AI$11:$AI$259), ""), 0)),"")</f>
        <v/>
      </c>
      <c r="AL18" s="54">
        <f t="array" ref="AL18">IFERROR(INDEX($AI$11:$AI$259, MATCH(0, IF(TRUE=$AG$11:$AG$259, COUNTIF($AL$10:$AL17, $AI$11:$AI$259), ""), 0)),"")</f>
        <v>8</v>
      </c>
      <c r="AM18" s="54" t="str">
        <f t="array" ref="AM18">IFERROR(INDEX($AI$11:$AI$259, MATCH(0, IF(TRUE=$AH$11:$AH$259, COUNTIF($AM$10:$AM17, $AI$11:$AI$259), ""), 0)),"")</f>
        <v/>
      </c>
      <c r="AN18" s="54"/>
      <c r="AQ18" s="47">
        <f t="shared" si="2"/>
        <v>0</v>
      </c>
    </row>
    <row r="19" spans="1:43" ht="42.75" x14ac:dyDescent="0.2">
      <c r="A19" s="47" t="str">
        <f>IFERROR(INDEX('G-1 All Habitats'!$AG$3:$AG$15,MATCH(E19,'G-1 All Habitats'!$AF$3:$AF$15,0)),"")</f>
        <v>Grassland</v>
      </c>
      <c r="B19" s="47" t="str">
        <f>IFERROR(INDEX('G-8 Condition Look up'!$I$4:$I$130,MATCH(G19,'G-8 Condition Look up'!$A$4:$A$130,0)),"")</f>
        <v>Cond4</v>
      </c>
      <c r="D19" s="77">
        <v>9</v>
      </c>
      <c r="E19" s="82" t="s">
        <v>76</v>
      </c>
      <c r="F19" s="79" t="s">
        <v>236</v>
      </c>
      <c r="G19" s="69" t="str">
        <f>IFERROR(INDEX('G-1 All Habitats'!$B$3:$B$129,MATCH(F19,'G-1 All Habitats'!$A$3:$A$129,0)),"")</f>
        <v>Grassland - Other neutral grassland</v>
      </c>
      <c r="H19" s="70">
        <v>17.578199999999999</v>
      </c>
      <c r="I19" s="497" t="str">
        <f>IF(G19="","",VLOOKUP(G19,'G-1 All Habitats'!$B$2:$M$129,10,FALSE))</f>
        <v>Medium</v>
      </c>
      <c r="J19" s="498">
        <f>IFERROR(VLOOKUP(I19,'G-1 All Habitats'!$V$3:$W$7,2,FALSE),"")</f>
        <v>4</v>
      </c>
      <c r="K19" s="71" t="s">
        <v>233</v>
      </c>
      <c r="L19" s="498">
        <f>IFERROR(INDEX('G-8 Condition Look up'!$A$3:$H$130,MATCH(G19,'G-8 Condition Look up'!$A$3:$A$130,0),MATCH(K19,'G-8 Condition Look up'!$A$3:$H$3,0)),"")</f>
        <v>1</v>
      </c>
      <c r="M19" s="71" t="s">
        <v>231</v>
      </c>
      <c r="N19" s="519" t="str">
        <f>IF(M19="","",IF(VLOOKUP(M19,'G-3 Multipliers'!$L$3:$N$6,2,FALSE)=0,"Spatial Data Missing",VLOOKUP(M19,'G-3 Multipliers'!$L$3:$N$6,2,FALSE)))</f>
        <v xml:space="preserve">High strategic significance </v>
      </c>
      <c r="O19" s="504">
        <f>IF(M19="","",IF(VLOOKUP(M19,'G-3 Multipliers'!$L$3:$N$6,3,FALSE)=0,"Spatial Data Missing ▲",VLOOKUP(M19,'G-3 Multipliers'!$L$3:$N$6,3,FALSE)))</f>
        <v>1.1499999999999999</v>
      </c>
      <c r="P19" s="505" t="str">
        <f>IFERROR(VLOOKUP(G19,'G-1 All Habitats'!$B$2:$M$129,12,FALSE),"")</f>
        <v>Same broad habitat or a higher distinctiveness habitat required (≥)</v>
      </c>
      <c r="Q19" s="512">
        <f>IFERROR(IF(P19="","",IF(AND(P19='G-1 All Habitats'!$X$3,T19&gt;0),U19+V19,IF(AND(P19='G-1 All Habitats'!$X$3,S19&gt;0),U19+V19,IF(AND(P19='G-1 All Habitats'!$X$3,AC19&gt;0),"Any Loss Unacceptable ▲",IF(AND(P19='G-1 All Habitats'!$X$3,W19&gt;0),"Any Loss Unacceptable ▲",H19*J19*L19*O19))))),"Check Data ▲")</f>
        <v>80.859719999999996</v>
      </c>
      <c r="R19" s="50"/>
      <c r="S19" s="71">
        <v>0</v>
      </c>
      <c r="T19" s="72">
        <v>17.578199999999999</v>
      </c>
      <c r="U19" s="510">
        <f t="shared" si="3"/>
        <v>0</v>
      </c>
      <c r="V19" s="510">
        <f t="shared" si="4"/>
        <v>80.859719999999996</v>
      </c>
      <c r="W19" s="510">
        <f>IF(E19="","",IF(H19&lt;S19+T19,"Error in Areas ▲",IF(P19&lt;&gt;'G-1 All Habitats'!$X$3,H19-S19-T19,IF(AND(P19='G-1 All Habitats'!$X$3,Y19="Yes"),"Unacceptable Loss",IF(AND(P19='G-1 All Habitats'!$X$3,Y19="No"),AC19,IF(AND(P19='G-1 All Habitats'!$X$3,Y19=""),AC19,IF(AND(P19='G-1 All Habitats'!$X$3,AC19="None",AC19),IF(AND(P19='G-1 All Habitats'!$X$3,AC19&gt;0),H19-S19-T19))))))))</f>
        <v>0</v>
      </c>
      <c r="X19" s="514">
        <f>IFERROR(IF(H19="","",IF(H19-S19-T19=0&lt;0,"Error in Areas ▲",IF(S19+T19&gt;H19,"Error in Areas ▲",IF(AND(P19='G-1 All Habitats'!$X$3,Y19="Yes"),"Alternative Compensation ✓",IF(W19=0,0,IF(P19='G-1 All Habitats'!$X$3,"Unacceptable Loss ▲",Q19-U19-V19)))))),"Check Data ▲")</f>
        <v>0</v>
      </c>
      <c r="Y19" s="72"/>
      <c r="Z19" s="80"/>
      <c r="AA19" s="81"/>
      <c r="AC19" s="75" t="str">
        <f>IF(P19="","",IF(P19='G-1 All Habitats'!$X$3,H19-S19-T19,"None"))</f>
        <v>None</v>
      </c>
      <c r="AD19" s="76" t="str">
        <f>IFERROR(AC19*J19*L19*#REF!*O19,IF(P19="","","None"))</f>
        <v>None</v>
      </c>
      <c r="AF19" s="54" t="b">
        <f t="shared" si="0"/>
        <v>0</v>
      </c>
      <c r="AG19" s="54" t="b">
        <f t="shared" si="1"/>
        <v>1</v>
      </c>
      <c r="AH19" s="54" t="e">
        <f>IF(I19="","",IF(#REF!&gt;0,TRUE,FALSE))</f>
        <v>#REF!</v>
      </c>
      <c r="AI19" s="54">
        <v>9</v>
      </c>
      <c r="AJ19" s="54"/>
      <c r="AK19" s="54" t="str">
        <f t="array" ref="AK19">IFERROR(INDEX($AI$11:$AI$259, MATCH(0, IF(TRUE=$AF$11:$AF$259, COUNTIF($AK$10:$AK18, $AI$11:$AI$259), ""), 0)),"")</f>
        <v/>
      </c>
      <c r="AL19" s="54">
        <f t="array" ref="AL19">IFERROR(INDEX($AI$11:$AI$259, MATCH(0, IF(TRUE=$AG$11:$AG$259, COUNTIF($AL$10:$AL18, $AI$11:$AI$259), ""), 0)),"")</f>
        <v>9</v>
      </c>
      <c r="AM19" s="54" t="str">
        <f t="array" ref="AM19">IFERROR(INDEX($AI$11:$AI$259, MATCH(0, IF(TRUE=$AH$11:$AH$259, COUNTIF($AM$10:$AM18, $AI$11:$AI$259), ""), 0)),"")</f>
        <v/>
      </c>
      <c r="AN19" s="54"/>
      <c r="AQ19" s="47">
        <f t="shared" si="2"/>
        <v>0</v>
      </c>
    </row>
    <row r="20" spans="1:43" ht="42.75" x14ac:dyDescent="0.2">
      <c r="A20" s="47" t="str">
        <f>IFERROR(INDEX('G-1 All Habitats'!$AG$3:$AG$15,MATCH(E20,'G-1 All Habitats'!$AF$3:$AF$15,0)),"")</f>
        <v>Heathland_and_shrub</v>
      </c>
      <c r="B20" s="47" t="str">
        <f>IFERROR(INDEX('G-8 Condition Look up'!$I$4:$I$130,MATCH(G20,'G-8 Condition Look up'!$A$4:$A$130,0)),"")</f>
        <v>Cond1</v>
      </c>
      <c r="D20" s="77">
        <v>10</v>
      </c>
      <c r="E20" s="78" t="s">
        <v>77</v>
      </c>
      <c r="F20" s="79" t="s">
        <v>237</v>
      </c>
      <c r="G20" s="69" t="str">
        <f>IFERROR(INDEX('G-1 All Habitats'!$B$3:$B$129,MATCH(F20,'G-1 All Habitats'!$A$3:$A$129,0)),"")</f>
        <v>Heathland and shrub - Bramble scrub</v>
      </c>
      <c r="H20" s="70">
        <v>0.19400000000000001</v>
      </c>
      <c r="I20" s="497" t="str">
        <f>IF(G20="","",VLOOKUP(G20,'G-1 All Habitats'!$B$2:$M$129,10,FALSE))</f>
        <v>Medium</v>
      </c>
      <c r="J20" s="498">
        <f>IFERROR(VLOOKUP(I20,'G-1 All Habitats'!$V$3:$W$7,2,FALSE),"")</f>
        <v>4</v>
      </c>
      <c r="K20" s="71" t="s">
        <v>230</v>
      </c>
      <c r="L20" s="498">
        <f>IFERROR(INDEX('G-8 Condition Look up'!$A$3:$H$130,MATCH(G20,'G-8 Condition Look up'!$A$3:$A$130,0),MATCH(K20,'G-8 Condition Look up'!$A$3:$H$3,0)),"")</f>
        <v>1</v>
      </c>
      <c r="M20" s="71" t="s">
        <v>231</v>
      </c>
      <c r="N20" s="519" t="str">
        <f>IF(M20="","",IF(VLOOKUP(M20,'G-3 Multipliers'!$L$3:$N$6,2,FALSE)=0,"Spatial Data Missing",VLOOKUP(M20,'G-3 Multipliers'!$L$3:$N$6,2,FALSE)))</f>
        <v xml:space="preserve">High strategic significance </v>
      </c>
      <c r="O20" s="504">
        <f>IF(M20="","",IF(VLOOKUP(M20,'G-3 Multipliers'!$L$3:$N$6,3,FALSE)=0,"Spatial Data Missing ▲",VLOOKUP(M20,'G-3 Multipliers'!$L$3:$N$6,3,FALSE)))</f>
        <v>1.1499999999999999</v>
      </c>
      <c r="P20" s="505" t="str">
        <f>IFERROR(VLOOKUP(G20,'G-1 All Habitats'!$B$2:$M$129,12,FALSE),"")</f>
        <v>Same broad habitat or a higher distinctiveness habitat required (≥)</v>
      </c>
      <c r="Q20" s="512">
        <f>IFERROR(IF(P20="","",IF(AND(P20='G-1 All Habitats'!$X$3,T20&gt;0),U20+V20,IF(AND(P20='G-1 All Habitats'!$X$3,S20&gt;0),U20+V20,IF(AND(P20='G-1 All Habitats'!$X$3,AC20&gt;0),"Any Loss Unacceptable ▲",IF(AND(P20='G-1 All Habitats'!$X$3,W20&gt;0),"Any Loss Unacceptable ▲",H20*J20*L20*O20))))),"Check Data ▲")</f>
        <v>0.89239999999999997</v>
      </c>
      <c r="R20" s="50"/>
      <c r="S20" s="71">
        <v>0</v>
      </c>
      <c r="T20" s="72">
        <v>0</v>
      </c>
      <c r="U20" s="510">
        <f t="shared" si="3"/>
        <v>0</v>
      </c>
      <c r="V20" s="510">
        <f t="shared" si="4"/>
        <v>0</v>
      </c>
      <c r="W20" s="510">
        <f>IF(E20="","",IF(H20&lt;S20+T20,"Error in Areas ▲",IF(P20&lt;&gt;'G-1 All Habitats'!$X$3,H20-S20-T20,IF(AND(P20='G-1 All Habitats'!$X$3,Y20="Yes"),"Unacceptable Loss",IF(AND(P20='G-1 All Habitats'!$X$3,Y20="No"),AC20,IF(AND(P20='G-1 All Habitats'!$X$3,Y20=""),AC20,IF(AND(P20='G-1 All Habitats'!$X$3,AC20="None",AC20),IF(AND(P20='G-1 All Habitats'!$X$3,AC20&gt;0),H20-S20-T20))))))))</f>
        <v>0.19400000000000001</v>
      </c>
      <c r="X20" s="514">
        <f>IFERROR(IF(H20="","",IF(H20-S20-T20=0&lt;0,"Error in Areas ▲",IF(S20+T20&gt;H20,"Error in Areas ▲",IF(AND(P20='G-1 All Habitats'!$X$3,Y20="Yes"),"Alternative Compensation ✓",IF(W20=0,0,IF(P20='G-1 All Habitats'!$X$3,"Unacceptable Loss ▲",Q20-U20-V20)))))),"Check Data ▲")</f>
        <v>0.89239999999999997</v>
      </c>
      <c r="Y20" s="72"/>
      <c r="Z20" s="80"/>
      <c r="AA20" s="81"/>
      <c r="AC20" s="75" t="str">
        <f>IF(P20="","",IF(P20='G-1 All Habitats'!$X$3,H20-S20-T20,"None"))</f>
        <v>None</v>
      </c>
      <c r="AD20" s="76" t="str">
        <f>IFERROR(AC20*J20*L20*#REF!*O20,IF(P20="","","None"))</f>
        <v>None</v>
      </c>
      <c r="AF20" s="54" t="b">
        <f t="shared" si="0"/>
        <v>0</v>
      </c>
      <c r="AG20" s="54" t="b">
        <f t="shared" si="1"/>
        <v>0</v>
      </c>
      <c r="AH20" s="54" t="e">
        <f>IF(I20="","",IF(#REF!&gt;0,TRUE,FALSE))</f>
        <v>#REF!</v>
      </c>
      <c r="AI20" s="54">
        <v>10</v>
      </c>
      <c r="AJ20" s="54"/>
      <c r="AK20" s="54" t="str">
        <f t="array" ref="AK20">IFERROR(INDEX($AI$11:$AI$259, MATCH(0, IF(TRUE=$AF$11:$AF$259, COUNTIF($AK$10:$AK19, $AI$11:$AI$259), ""), 0)),"")</f>
        <v/>
      </c>
      <c r="AL20" s="54">
        <f t="array" ref="AL20">IFERROR(INDEX($AI$11:$AI$259, MATCH(0, IF(TRUE=$AG$11:$AG$259, COUNTIF($AL$10:$AL19, $AI$11:$AI$259), ""), 0)),"")</f>
        <v>12</v>
      </c>
      <c r="AM20" s="54" t="str">
        <f t="array" ref="AM20">IFERROR(INDEX($AI$11:$AI$259, MATCH(0, IF(TRUE=$AH$11:$AH$259, COUNTIF($AM$10:$AM19, $AI$11:$AI$259), ""), 0)),"")</f>
        <v/>
      </c>
      <c r="AN20" s="54"/>
      <c r="AQ20" s="47">
        <f t="shared" si="2"/>
        <v>0</v>
      </c>
    </row>
    <row r="21" spans="1:43" ht="42.75" x14ac:dyDescent="0.2">
      <c r="A21" s="47" t="str">
        <f>IFERROR(INDEX('G-1 All Habitats'!$AG$3:$AG$15,MATCH(E21,'G-1 All Habitats'!$AF$3:$AF$15,0)),"")</f>
        <v>Heathland_and_shrub</v>
      </c>
      <c r="B21" s="47" t="str">
        <f>IFERROR(INDEX('G-8 Condition Look up'!$I$4:$I$130,MATCH(G21,'G-8 Condition Look up'!$A$4:$A$130,0)),"")</f>
        <v>Cond4</v>
      </c>
      <c r="D21" s="77">
        <v>11</v>
      </c>
      <c r="E21" s="78" t="s">
        <v>77</v>
      </c>
      <c r="F21" s="79" t="s">
        <v>238</v>
      </c>
      <c r="G21" s="69" t="str">
        <f>IFERROR(INDEX('G-1 All Habitats'!$B$3:$B$129,MATCH(F21,'G-1 All Habitats'!$A$3:$A$129,0)),"")</f>
        <v>Heathland and shrub - Mixed scrub</v>
      </c>
      <c r="H21" s="70">
        <v>0.21579999999999999</v>
      </c>
      <c r="I21" s="497" t="str">
        <f>IF(G21="","",VLOOKUP(G21,'G-1 All Habitats'!$B$2:$M$129,10,FALSE))</f>
        <v>Medium</v>
      </c>
      <c r="J21" s="498">
        <f>IFERROR(VLOOKUP(I21,'G-1 All Habitats'!$V$3:$W$7,2,FALSE),"")</f>
        <v>4</v>
      </c>
      <c r="K21" s="71" t="s">
        <v>26</v>
      </c>
      <c r="L21" s="498">
        <f>IFERROR(INDEX('G-8 Condition Look up'!$A$3:$H$130,MATCH(G21,'G-8 Condition Look up'!$A$3:$A$130,0),MATCH(K21,'G-8 Condition Look up'!$A$3:$H$3,0)),"")</f>
        <v>2</v>
      </c>
      <c r="M21" s="71" t="s">
        <v>231</v>
      </c>
      <c r="N21" s="519" t="str">
        <f>IF(M21="","",IF(VLOOKUP(M21,'G-3 Multipliers'!$L$3:$N$6,2,FALSE)=0,"Spatial Data Missing",VLOOKUP(M21,'G-3 Multipliers'!$L$3:$N$6,2,FALSE)))</f>
        <v xml:space="preserve">High strategic significance </v>
      </c>
      <c r="O21" s="504">
        <f>IF(M21="","",IF(VLOOKUP(M21,'G-3 Multipliers'!$L$3:$N$6,3,FALSE)=0,"Spatial Data Missing ▲",VLOOKUP(M21,'G-3 Multipliers'!$L$3:$N$6,3,FALSE)))</f>
        <v>1.1499999999999999</v>
      </c>
      <c r="P21" s="505" t="str">
        <f>IFERROR(VLOOKUP(G21,'G-1 All Habitats'!$B$2:$M$129,12,FALSE),"")</f>
        <v>Same broad habitat or a higher distinctiveness habitat required (≥)</v>
      </c>
      <c r="Q21" s="512">
        <f>IFERROR(IF(P21="","",IF(AND(P21='G-1 All Habitats'!$X$3,T21&gt;0),U21+V21,IF(AND(P21='G-1 All Habitats'!$X$3,S21&gt;0),U21+V21,IF(AND(P21='G-1 All Habitats'!$X$3,AC21&gt;0),"Any Loss Unacceptable ▲",IF(AND(P21='G-1 All Habitats'!$X$3,W21&gt;0),"Any Loss Unacceptable ▲",H21*J21*L21*O21))))),"Check Data ▲")</f>
        <v>1.9853599999999998</v>
      </c>
      <c r="R21" s="50"/>
      <c r="S21" s="71">
        <v>0</v>
      </c>
      <c r="T21" s="72">
        <v>0</v>
      </c>
      <c r="U21" s="510">
        <f t="shared" si="3"/>
        <v>0</v>
      </c>
      <c r="V21" s="510">
        <f t="shared" si="4"/>
        <v>0</v>
      </c>
      <c r="W21" s="510">
        <f>IF(E21="","",IF(H21&lt;S21+T21,"Error in Areas ▲",IF(P21&lt;&gt;'G-1 All Habitats'!$X$3,H21-S21-T21,IF(AND(P21='G-1 All Habitats'!$X$3,Y21="Yes"),"Unacceptable Loss",IF(AND(P21='G-1 All Habitats'!$X$3,Y21="No"),AC21,IF(AND(P21='G-1 All Habitats'!$X$3,Y21=""),AC21,IF(AND(P21='G-1 All Habitats'!$X$3,AC21="None",AC21),IF(AND(P21='G-1 All Habitats'!$X$3,AC21&gt;0),H21-S21-T21))))))))</f>
        <v>0.21579999999999999</v>
      </c>
      <c r="X21" s="514">
        <f>IFERROR(IF(H21="","",IF(H21-S21-T21=0&lt;0,"Error in Areas ▲",IF(S21+T21&gt;H21,"Error in Areas ▲",IF(AND(P21='G-1 All Habitats'!$X$3,Y21="Yes"),"Alternative Compensation ✓",IF(W21=0,0,IF(P21='G-1 All Habitats'!$X$3,"Unacceptable Loss ▲",Q21-U21-V21)))))),"Check Data ▲")</f>
        <v>1.9853599999999998</v>
      </c>
      <c r="Y21" s="72"/>
      <c r="Z21" s="80"/>
      <c r="AA21" s="81"/>
      <c r="AC21" s="75" t="str">
        <f>IF(P21="","",IF(P21='G-1 All Habitats'!$X$3,H21-S21-T21,"None"))</f>
        <v>None</v>
      </c>
      <c r="AD21" s="76" t="str">
        <f>IFERROR(AC21*J21*L21*#REF!*O21,IF(P21="","","None"))</f>
        <v>None</v>
      </c>
      <c r="AF21" s="54" t="b">
        <f t="shared" si="0"/>
        <v>0</v>
      </c>
      <c r="AG21" s="54" t="b">
        <f t="shared" si="1"/>
        <v>0</v>
      </c>
      <c r="AH21" s="54" t="e">
        <f>IF(I21="","",IF(#REF!&gt;0,TRUE,FALSE))</f>
        <v>#REF!</v>
      </c>
      <c r="AI21" s="54">
        <v>11</v>
      </c>
      <c r="AJ21" s="54"/>
      <c r="AK21" s="54" t="str">
        <f t="array" ref="AK21">IFERROR(INDEX($AI$11:$AI$259, MATCH(0, IF(TRUE=$AF$11:$AF$259, COUNTIF($AK$10:$AK20, $AI$11:$AI$259), ""), 0)),"")</f>
        <v/>
      </c>
      <c r="AL21" s="54">
        <f t="array" ref="AL21">IFERROR(INDEX($AI$11:$AI$259, MATCH(0, IF(TRUE=$AG$11:$AG$259, COUNTIF($AL$10:$AL20, $AI$11:$AI$259), ""), 0)),"")</f>
        <v>16</v>
      </c>
      <c r="AM21" s="54" t="str">
        <f t="array" ref="AM21">IFERROR(INDEX($AI$11:$AI$259, MATCH(0, IF(TRUE=$AH$11:$AH$259, COUNTIF($AM$10:$AM20, $AI$11:$AI$259), ""), 0)),"")</f>
        <v/>
      </c>
      <c r="AN21" s="54"/>
      <c r="AQ21" s="47">
        <f t="shared" si="2"/>
        <v>0</v>
      </c>
    </row>
    <row r="22" spans="1:43" ht="42.75" x14ac:dyDescent="0.2">
      <c r="A22" s="47" t="str">
        <f>IFERROR(INDEX('G-1 All Habitats'!$AG$3:$AG$15,MATCH(E22,'G-1 All Habitats'!$AF$3:$AF$15,0)),"")</f>
        <v>Lakes</v>
      </c>
      <c r="B22" s="47" t="str">
        <f>IFERROR(INDEX('G-8 Condition Look up'!$I$4:$I$130,MATCH(G22,'G-8 Condition Look up'!$A$4:$A$130,0)),"")</f>
        <v>Cond4</v>
      </c>
      <c r="D22" s="77">
        <v>12</v>
      </c>
      <c r="E22" s="78" t="s">
        <v>78</v>
      </c>
      <c r="F22" s="79" t="s">
        <v>239</v>
      </c>
      <c r="G22" s="69" t="str">
        <f>IFERROR(INDEX('G-1 All Habitats'!$B$3:$B$129,MATCH(F22,'G-1 All Habitats'!$A$3:$A$129,0)),"")</f>
        <v>Lakes - Ponds (Non- Priority Habitat)</v>
      </c>
      <c r="H22" s="70">
        <v>4.36E-2</v>
      </c>
      <c r="I22" s="497" t="str">
        <f>IF(G22="","",VLOOKUP(G22,'G-1 All Habitats'!$B$2:$M$129,10,FALSE))</f>
        <v>Medium</v>
      </c>
      <c r="J22" s="498">
        <f>IFERROR(VLOOKUP(I22,'G-1 All Habitats'!$V$3:$W$7,2,FALSE),"")</f>
        <v>4</v>
      </c>
      <c r="K22" s="71" t="s">
        <v>26</v>
      </c>
      <c r="L22" s="498">
        <f>IFERROR(INDEX('G-8 Condition Look up'!$A$3:$H$130,MATCH(G22,'G-8 Condition Look up'!$A$3:$A$130,0),MATCH(K22,'G-8 Condition Look up'!$A$3:$H$3,0)),"")</f>
        <v>2</v>
      </c>
      <c r="M22" s="71" t="s">
        <v>231</v>
      </c>
      <c r="N22" s="519" t="str">
        <f>IF(M22="","",IF(VLOOKUP(M22,'G-3 Multipliers'!$L$3:$N$6,2,FALSE)=0,"Spatial Data Missing",VLOOKUP(M22,'G-3 Multipliers'!$L$3:$N$6,2,FALSE)))</f>
        <v xml:space="preserve">High strategic significance </v>
      </c>
      <c r="O22" s="504">
        <f>IF(M22="","",IF(VLOOKUP(M22,'G-3 Multipliers'!$L$3:$N$6,3,FALSE)=0,"Spatial Data Missing ▲",VLOOKUP(M22,'G-3 Multipliers'!$L$3:$N$6,3,FALSE)))</f>
        <v>1.1499999999999999</v>
      </c>
      <c r="P22" s="505" t="str">
        <f>IFERROR(VLOOKUP(G22,'G-1 All Habitats'!$B$2:$M$129,12,FALSE),"")</f>
        <v>Same broad habitat or a higher distinctiveness habitat required (≥)</v>
      </c>
      <c r="Q22" s="512">
        <f>IFERROR(IF(P22="","",IF(AND(P22='G-1 All Habitats'!$X$3,T22&gt;0),U22+V22,IF(AND(P22='G-1 All Habitats'!$X$3,S22&gt;0),U22+V22,IF(AND(P22='G-1 All Habitats'!$X$3,AC22&gt;0),"Any Loss Unacceptable ▲",IF(AND(P22='G-1 All Habitats'!$X$3,W22&gt;0),"Any Loss Unacceptable ▲",H22*J22*L22*O22))))),"Check Data ▲")</f>
        <v>0.40111999999999998</v>
      </c>
      <c r="R22" s="50"/>
      <c r="S22" s="71">
        <v>0</v>
      </c>
      <c r="T22" s="72">
        <v>4.36E-2</v>
      </c>
      <c r="U22" s="510">
        <f t="shared" si="3"/>
        <v>0</v>
      </c>
      <c r="V22" s="510">
        <f t="shared" si="4"/>
        <v>0.40111999999999998</v>
      </c>
      <c r="W22" s="510">
        <f>IF(E22="","",IF(H22&lt;S22+T22,"Error in Areas ▲",IF(P22&lt;&gt;'G-1 All Habitats'!$X$3,H22-S22-T22,IF(AND(P22='G-1 All Habitats'!$X$3,Y22="Yes"),"Unacceptable Loss",IF(AND(P22='G-1 All Habitats'!$X$3,Y22="No"),AC22,IF(AND(P22='G-1 All Habitats'!$X$3,Y22=""),AC22,IF(AND(P22='G-1 All Habitats'!$X$3,AC22="None",AC22),IF(AND(P22='G-1 All Habitats'!$X$3,AC22&gt;0),H22-S22-T22))))))))</f>
        <v>0</v>
      </c>
      <c r="X22" s="514">
        <f>IFERROR(IF(H22="","",IF(H22-S22-T22=0&lt;0,"Error in Areas ▲",IF(S22+T22&gt;H22,"Error in Areas ▲",IF(AND(P22='G-1 All Habitats'!$X$3,Y22="Yes"),"Alternative Compensation ✓",IF(W22=0,0,IF(P22='G-1 All Habitats'!$X$3,"Unacceptable Loss ▲",Q22-U22-V22)))))),"Check Data ▲")</f>
        <v>0</v>
      </c>
      <c r="Y22" s="72"/>
      <c r="Z22" s="80"/>
      <c r="AA22" s="81"/>
      <c r="AC22" s="75" t="str">
        <f>IF(P22="","",IF(P22='G-1 All Habitats'!$X$3,H22-S22-T22,"None"))</f>
        <v>None</v>
      </c>
      <c r="AD22" s="76" t="str">
        <f>IFERROR(AC22*J22*L22*#REF!*O22,IF(P22="","","None"))</f>
        <v>None</v>
      </c>
      <c r="AF22" s="54" t="b">
        <f t="shared" si="0"/>
        <v>0</v>
      </c>
      <c r="AG22" s="54" t="b">
        <f t="shared" si="1"/>
        <v>1</v>
      </c>
      <c r="AH22" s="54" t="e">
        <f>IF(I22="","",IF(#REF!&gt;0,TRUE,FALSE))</f>
        <v>#REF!</v>
      </c>
      <c r="AI22" s="54">
        <v>12</v>
      </c>
      <c r="AJ22" s="54"/>
      <c r="AK22" s="54" t="str">
        <f t="array" ref="AK22">IFERROR(INDEX($AI$11:$AI$259, MATCH(0, IF(TRUE=$AF$11:$AF$259, COUNTIF($AK$10:$AK21, $AI$11:$AI$259), ""), 0)),"")</f>
        <v/>
      </c>
      <c r="AL22" s="54">
        <f t="array" ref="AL22">IFERROR(INDEX($AI$11:$AI$259, MATCH(0, IF(TRUE=$AG$11:$AG$259, COUNTIF($AL$10:$AL21, $AI$11:$AI$259), ""), 0)),"")</f>
        <v>18</v>
      </c>
      <c r="AM22" s="54" t="str">
        <f t="array" ref="AM22">IFERROR(INDEX($AI$11:$AI$259, MATCH(0, IF(TRUE=$AH$11:$AH$259, COUNTIF($AM$10:$AM21, $AI$11:$AI$259), ""), 0)),"")</f>
        <v/>
      </c>
      <c r="AN22" s="54"/>
      <c r="AQ22" s="47">
        <f t="shared" si="2"/>
        <v>0</v>
      </c>
    </row>
    <row r="23" spans="1:43" ht="28.5" x14ac:dyDescent="0.2">
      <c r="A23" s="47" t="str">
        <f>IFERROR(INDEX('G-1 All Habitats'!$AG$3:$AG$15,MATCH(E23,'G-1 All Habitats'!$AF$3:$AF$15,0)),"")</f>
        <v>Urban</v>
      </c>
      <c r="B23" s="47" t="str">
        <f>IFERROR(INDEX('G-8 Condition Look up'!$I$4:$I$130,MATCH(G23,'G-8 Condition Look up'!$A$4:$A$130,0)),"")</f>
        <v>Cond2</v>
      </c>
      <c r="D23" s="77">
        <v>13</v>
      </c>
      <c r="E23" s="78" t="s">
        <v>80</v>
      </c>
      <c r="F23" s="79" t="s">
        <v>240</v>
      </c>
      <c r="G23" s="69" t="str">
        <f>IFERROR(INDEX('G-1 All Habitats'!$B$3:$B$129,MATCH(F23,'G-1 All Habitats'!$A$3:$A$129,0)),"")</f>
        <v>Urban - Artificial unvegetated, unsealed surface</v>
      </c>
      <c r="H23" s="70">
        <v>0.33700000000000002</v>
      </c>
      <c r="I23" s="497" t="str">
        <f>IF(G23="","",VLOOKUP(G23,'G-1 All Habitats'!$B$2:$M$129,10,FALSE))</f>
        <v>V.Low</v>
      </c>
      <c r="J23" s="498">
        <f>IFERROR(VLOOKUP(I23,'G-1 All Habitats'!$V$3:$W$7,2,FALSE),"")</f>
        <v>0</v>
      </c>
      <c r="K23" s="71" t="s">
        <v>241</v>
      </c>
      <c r="L23" s="498">
        <f>IFERROR(INDEX('G-8 Condition Look up'!$A$3:$H$130,MATCH(G23,'G-8 Condition Look up'!$A$3:$A$130,0),MATCH(K23,'G-8 Condition Look up'!$A$3:$H$3,0)),"")</f>
        <v>0</v>
      </c>
      <c r="M23" s="71" t="s">
        <v>231</v>
      </c>
      <c r="N23" s="519" t="str">
        <f>IF(M23="","",IF(VLOOKUP(M23,'G-3 Multipliers'!$L$3:$N$6,2,FALSE)=0,"Spatial Data Missing",VLOOKUP(M23,'G-3 Multipliers'!$L$3:$N$6,2,FALSE)))</f>
        <v xml:space="preserve">High strategic significance </v>
      </c>
      <c r="O23" s="504">
        <f>IF(M23="","",IF(VLOOKUP(M23,'G-3 Multipliers'!$L$3:$N$6,3,FALSE)=0,"Spatial Data Missing ▲",VLOOKUP(M23,'G-3 Multipliers'!$L$3:$N$6,3,FALSE)))</f>
        <v>1.1499999999999999</v>
      </c>
      <c r="P23" s="505" t="str">
        <f>IFERROR(VLOOKUP(G23,'G-1 All Habitats'!$B$2:$M$129,12,FALSE),"")</f>
        <v>Compensation Not Required</v>
      </c>
      <c r="Q23" s="512">
        <f>IFERROR(IF(P23="","",IF(AND(P23='G-1 All Habitats'!$X$3,T23&gt;0),U23+V23,IF(AND(P23='G-1 All Habitats'!$X$3,S23&gt;0),U23+V23,IF(AND(P23='G-1 All Habitats'!$X$3,AC23&gt;0),"Any Loss Unacceptable ▲",IF(AND(P23='G-1 All Habitats'!$X$3,W23&gt;0),"Any Loss Unacceptable ▲",H23*J23*L23*O23))))),"Check Data ▲")</f>
        <v>0</v>
      </c>
      <c r="R23" s="50"/>
      <c r="S23" s="71">
        <v>0</v>
      </c>
      <c r="T23" s="72">
        <v>0</v>
      </c>
      <c r="U23" s="510">
        <f t="shared" si="3"/>
        <v>0</v>
      </c>
      <c r="V23" s="510">
        <f t="shared" si="4"/>
        <v>0</v>
      </c>
      <c r="W23" s="510">
        <f>IF(E23="","",IF(H23&lt;S23+T23,"Error in Areas ▲",IF(P23&lt;&gt;'G-1 All Habitats'!$X$3,H23-S23-T23,IF(AND(P23='G-1 All Habitats'!$X$3,Y23="Yes"),"Unacceptable Loss",IF(AND(P23='G-1 All Habitats'!$X$3,Y23="No"),AC23,IF(AND(P23='G-1 All Habitats'!$X$3,Y23=""),AC23,IF(AND(P23='G-1 All Habitats'!$X$3,AC23="None",AC23),IF(AND(P23='G-1 All Habitats'!$X$3,AC23&gt;0),H23-S23-T23))))))))</f>
        <v>0.33700000000000002</v>
      </c>
      <c r="X23" s="514">
        <f>IFERROR(IF(H23="","",IF(H23-S23-T23=0&lt;0,"Error in Areas ▲",IF(S23+T23&gt;H23,"Error in Areas ▲",IF(AND(P23='G-1 All Habitats'!$X$3,Y23="Yes"),"Alternative Compensation ✓",IF(W23=0,0,IF(P23='G-1 All Habitats'!$X$3,"Unacceptable Loss ▲",Q23-U23-V23)))))),"Check Data ▲")</f>
        <v>0</v>
      </c>
      <c r="Y23" s="72"/>
      <c r="Z23" s="80"/>
      <c r="AA23" s="81"/>
      <c r="AC23" s="75" t="str">
        <f>IF(P23="","",IF(P23='G-1 All Habitats'!$X$3,H23-S23-T23,"None"))</f>
        <v>None</v>
      </c>
      <c r="AD23" s="76" t="str">
        <f>IFERROR(AC23*J23*L23*#REF!*O23,IF(P23="","","None"))</f>
        <v>None</v>
      </c>
      <c r="AF23" s="54" t="b">
        <f t="shared" si="0"/>
        <v>0</v>
      </c>
      <c r="AG23" s="54" t="b">
        <f t="shared" si="1"/>
        <v>0</v>
      </c>
      <c r="AH23" s="54" t="e">
        <f>IF(I23="","",IF(#REF!&gt;0,TRUE,FALSE))</f>
        <v>#REF!</v>
      </c>
      <c r="AI23" s="54">
        <v>13</v>
      </c>
      <c r="AJ23" s="54"/>
      <c r="AK23" s="54" t="str">
        <f t="array" ref="AK23">IFERROR(INDEX($AI$11:$AI$259, MATCH(0, IF(TRUE=$AF$11:$AF$259, COUNTIF($AK$10:$AK22, $AI$11:$AI$259), ""), 0)),"")</f>
        <v/>
      </c>
      <c r="AL23" s="54">
        <f t="array" ref="AL23">IFERROR(INDEX($AI$11:$AI$259, MATCH(0, IF(TRUE=$AG$11:$AG$259, COUNTIF($AL$10:$AL22, $AI$11:$AI$259), ""), 0)),"")</f>
        <v>19</v>
      </c>
      <c r="AM23" s="54" t="str">
        <f t="array" ref="AM23">IFERROR(INDEX($AI$11:$AI$259, MATCH(0, IF(TRUE=$AH$11:$AH$259, COUNTIF($AM$10:$AM22, $AI$11:$AI$259), ""), 0)),"")</f>
        <v/>
      </c>
      <c r="AN23" s="54"/>
      <c r="AQ23" s="47">
        <f t="shared" si="2"/>
        <v>0</v>
      </c>
    </row>
    <row r="24" spans="1:43" ht="28.5" x14ac:dyDescent="0.2">
      <c r="A24" s="47" t="str">
        <f>IFERROR(INDEX('G-1 All Habitats'!$AG$3:$AG$15,MATCH(E24,'G-1 All Habitats'!$AF$3:$AF$15,0)),"")</f>
        <v>Urban</v>
      </c>
      <c r="B24" s="47" t="str">
        <f>IFERROR(INDEX('G-8 Condition Look up'!$I$4:$I$130,MATCH(G24,'G-8 Condition Look up'!$A$4:$A$130,0)),"")</f>
        <v>Cond2</v>
      </c>
      <c r="D24" s="77">
        <v>14</v>
      </c>
      <c r="E24" s="78" t="s">
        <v>80</v>
      </c>
      <c r="F24" s="79" t="s">
        <v>240</v>
      </c>
      <c r="G24" s="69" t="str">
        <f>IFERROR(INDEX('G-1 All Habitats'!$B$3:$B$129,MATCH(F24,'G-1 All Habitats'!$A$3:$A$129,0)),"")</f>
        <v>Urban - Artificial unvegetated, unsealed surface</v>
      </c>
      <c r="H24" s="70">
        <v>0.53749999999999998</v>
      </c>
      <c r="I24" s="497" t="str">
        <f>IF(G24="","",VLOOKUP(G24,'G-1 All Habitats'!$B$2:$M$129,10,FALSE))</f>
        <v>V.Low</v>
      </c>
      <c r="J24" s="498">
        <f>IFERROR(VLOOKUP(I24,'G-1 All Habitats'!$V$3:$W$7,2,FALSE),"")</f>
        <v>0</v>
      </c>
      <c r="K24" s="71" t="s">
        <v>241</v>
      </c>
      <c r="L24" s="498">
        <f>IFERROR(INDEX('G-8 Condition Look up'!$A$3:$H$130,MATCH(G24,'G-8 Condition Look up'!$A$3:$A$130,0),MATCH(K24,'G-8 Condition Look up'!$A$3:$H$3,0)),"")</f>
        <v>0</v>
      </c>
      <c r="M24" s="71" t="s">
        <v>231</v>
      </c>
      <c r="N24" s="519" t="str">
        <f>IF(M24="","",IF(VLOOKUP(M24,'G-3 Multipliers'!$L$3:$N$6,2,FALSE)=0,"Spatial Data Missing",VLOOKUP(M24,'G-3 Multipliers'!$L$3:$N$6,2,FALSE)))</f>
        <v xml:space="preserve">High strategic significance </v>
      </c>
      <c r="O24" s="504">
        <f>IF(M24="","",IF(VLOOKUP(M24,'G-3 Multipliers'!$L$3:$N$6,3,FALSE)=0,"Spatial Data Missing ▲",VLOOKUP(M24,'G-3 Multipliers'!$L$3:$N$6,3,FALSE)))</f>
        <v>1.1499999999999999</v>
      </c>
      <c r="P24" s="505" t="str">
        <f>IFERROR(VLOOKUP(G24,'G-1 All Habitats'!$B$2:$M$129,12,FALSE),"")</f>
        <v>Compensation Not Required</v>
      </c>
      <c r="Q24" s="512">
        <f>IFERROR(IF(P24="","",IF(AND(P24='G-1 All Habitats'!$X$3,T24&gt;0),U24+V24,IF(AND(P24='G-1 All Habitats'!$X$3,S24&gt;0),U24+V24,IF(AND(P24='G-1 All Habitats'!$X$3,AC24&gt;0),"Any Loss Unacceptable ▲",IF(AND(P24='G-1 All Habitats'!$X$3,W24&gt;0),"Any Loss Unacceptable ▲",H24*J24*L24*O24))))),"Check Data ▲")</f>
        <v>0</v>
      </c>
      <c r="R24" s="50"/>
      <c r="S24" s="71">
        <v>0.53749999999999998</v>
      </c>
      <c r="T24" s="72">
        <v>0</v>
      </c>
      <c r="U24" s="510">
        <f t="shared" si="3"/>
        <v>0</v>
      </c>
      <c r="V24" s="510">
        <f t="shared" si="4"/>
        <v>0</v>
      </c>
      <c r="W24" s="510">
        <f>IF(E24="","",IF(H24&lt;S24+T24,"Error in Areas ▲",IF(P24&lt;&gt;'G-1 All Habitats'!$X$3,H24-S24-T24,IF(AND(P24='G-1 All Habitats'!$X$3,Y24="Yes"),"Unacceptable Loss",IF(AND(P24='G-1 All Habitats'!$X$3,Y24="No"),AC24,IF(AND(P24='G-1 All Habitats'!$X$3,Y24=""),AC24,IF(AND(P24='G-1 All Habitats'!$X$3,AC24="None",AC24),IF(AND(P24='G-1 All Habitats'!$X$3,AC24&gt;0),H24-S24-T24))))))))</f>
        <v>0</v>
      </c>
      <c r="X24" s="514">
        <f>IFERROR(IF(H24="","",IF(H24-S24-T24=0&lt;0,"Error in Areas ▲",IF(S24+T24&gt;H24,"Error in Areas ▲",IF(AND(P24='G-1 All Habitats'!$X$3,Y24="Yes"),"Alternative Compensation ✓",IF(W24=0,0,IF(P24='G-1 All Habitats'!$X$3,"Unacceptable Loss ▲",Q24-U24-V24)))))),"Check Data ▲")</f>
        <v>0</v>
      </c>
      <c r="Y24" s="72"/>
      <c r="Z24" s="80"/>
      <c r="AA24" s="81"/>
      <c r="AC24" s="75" t="str">
        <f>IF(P24="","",IF(P24='G-1 All Habitats'!$X$3,H24-S24-T24,"None"))</f>
        <v>None</v>
      </c>
      <c r="AD24" s="76" t="str">
        <f>IFERROR(AC24*J24*L24*#REF!*O24,IF(P24="","","None"))</f>
        <v>None</v>
      </c>
      <c r="AF24" s="54" t="b">
        <f t="shared" si="0"/>
        <v>1</v>
      </c>
      <c r="AG24" s="54" t="b">
        <f t="shared" si="1"/>
        <v>0</v>
      </c>
      <c r="AH24" s="54" t="e">
        <f>IF(I24="","",IF(#REF!&gt;0,TRUE,FALSE))</f>
        <v>#REF!</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ht="28.5" x14ac:dyDescent="0.2">
      <c r="A25" s="47" t="str">
        <f>IFERROR(INDEX('G-1 All Habitats'!$AG$3:$AG$15,MATCH(E25,'G-1 All Habitats'!$AF$3:$AF$15,0)),"")</f>
        <v>Urban</v>
      </c>
      <c r="B25" s="47" t="str">
        <f>IFERROR(INDEX('G-8 Condition Look up'!$I$4:$I$130,MATCH(G25,'G-8 Condition Look up'!$A$4:$A$130,0)),"")</f>
        <v>Cond2</v>
      </c>
      <c r="D25" s="77">
        <v>15</v>
      </c>
      <c r="E25" s="78" t="s">
        <v>80</v>
      </c>
      <c r="F25" s="79" t="s">
        <v>242</v>
      </c>
      <c r="G25" s="69" t="str">
        <f>IFERROR(INDEX('G-1 All Habitats'!$B$3:$B$129,MATCH(F25,'G-1 All Habitats'!$A$3:$A$129,0)),"")</f>
        <v>Urban - Developed land; sealed surface</v>
      </c>
      <c r="H25" s="70">
        <v>5.0000000000000001E-3</v>
      </c>
      <c r="I25" s="497" t="str">
        <f>IF(G25="","",VLOOKUP(G25,'G-1 All Habitats'!$B$2:$M$129,10,FALSE))</f>
        <v>V.Low</v>
      </c>
      <c r="J25" s="498">
        <f>IFERROR(VLOOKUP(I25,'G-1 All Habitats'!$V$3:$W$7,2,FALSE),"")</f>
        <v>0</v>
      </c>
      <c r="K25" s="71" t="s">
        <v>241</v>
      </c>
      <c r="L25" s="498">
        <f>IFERROR(INDEX('G-8 Condition Look up'!$A$3:$H$130,MATCH(G25,'G-8 Condition Look up'!$A$3:$A$130,0),MATCH(K25,'G-8 Condition Look up'!$A$3:$H$3,0)),"")</f>
        <v>0</v>
      </c>
      <c r="M25" s="71" t="s">
        <v>231</v>
      </c>
      <c r="N25" s="519" t="str">
        <f>IF(M25="","",IF(VLOOKUP(M25,'G-3 Multipliers'!$L$3:$N$6,2,FALSE)=0,"Spatial Data Missing",VLOOKUP(M25,'G-3 Multipliers'!$L$3:$N$6,2,FALSE)))</f>
        <v xml:space="preserve">High strategic significance </v>
      </c>
      <c r="O25" s="504">
        <f>IF(M25="","",IF(VLOOKUP(M25,'G-3 Multipliers'!$L$3:$N$6,3,FALSE)=0,"Spatial Data Missing ▲",VLOOKUP(M25,'G-3 Multipliers'!$L$3:$N$6,3,FALSE)))</f>
        <v>1.1499999999999999</v>
      </c>
      <c r="P25" s="505" t="str">
        <f>IFERROR(VLOOKUP(G25,'G-1 All Habitats'!$B$2:$M$129,12,FALSE),"")</f>
        <v>Compensation Not Required</v>
      </c>
      <c r="Q25" s="512">
        <f>IFERROR(IF(P25="","",IF(AND(P25='G-1 All Habitats'!$X$3,T25&gt;0),U25+V25,IF(AND(P25='G-1 All Habitats'!$X$3,S25&gt;0),U25+V25,IF(AND(P25='G-1 All Habitats'!$X$3,AC25&gt;0),"Any Loss Unacceptable ▲",IF(AND(P25='G-1 All Habitats'!$X$3,W25&gt;0),"Any Loss Unacceptable ▲",H25*J25*L25*O25))))),"Check Data ▲")</f>
        <v>0</v>
      </c>
      <c r="R25" s="50"/>
      <c r="S25" s="71">
        <v>5.0000000000000001E-3</v>
      </c>
      <c r="T25" s="72">
        <v>0</v>
      </c>
      <c r="U25" s="510">
        <f t="shared" si="3"/>
        <v>0</v>
      </c>
      <c r="V25" s="510">
        <f t="shared" si="4"/>
        <v>0</v>
      </c>
      <c r="W25" s="510">
        <f>IF(E25="","",IF(H25&lt;S25+T25,"Error in Areas ▲",IF(P25&lt;&gt;'G-1 All Habitats'!$X$3,H25-S25-T25,IF(AND(P25='G-1 All Habitats'!$X$3,Y25="Yes"),"Unacceptable Loss",IF(AND(P25='G-1 All Habitats'!$X$3,Y25="No"),AC25,IF(AND(P25='G-1 All Habitats'!$X$3,Y25=""),AC25,IF(AND(P25='G-1 All Habitats'!$X$3,AC25="None",AC25),IF(AND(P25='G-1 All Habitats'!$X$3,AC25&gt;0),H25-S25-T25))))))))</f>
        <v>0</v>
      </c>
      <c r="X25" s="514">
        <f>IFERROR(IF(H25="","",IF(H25-S25-T25=0&lt;0,"Error in Areas ▲",IF(S25+T25&gt;H25,"Error in Areas ▲",IF(AND(P25='G-1 All Habitats'!$X$3,Y25="Yes"),"Alternative Compensation ✓",IF(W25=0,0,IF(P25='G-1 All Habitats'!$X$3,"Unacceptable Loss ▲",Q25-U25-V25)))))),"Check Data ▲")</f>
        <v>0</v>
      </c>
      <c r="Y25" s="72"/>
      <c r="Z25" s="80"/>
      <c r="AA25" s="81"/>
      <c r="AC25" s="75" t="str">
        <f>IF(P25="","",IF(P25='G-1 All Habitats'!$X$3,H25-S25-T25,"None"))</f>
        <v>None</v>
      </c>
      <c r="AD25" s="76" t="str">
        <f>IFERROR(AC25*J25*L25*#REF!*O25,IF(P25="","","None"))</f>
        <v>None</v>
      </c>
      <c r="AF25" s="54" t="b">
        <f t="shared" si="0"/>
        <v>1</v>
      </c>
      <c r="AG25" s="54" t="b">
        <f t="shared" si="1"/>
        <v>0</v>
      </c>
      <c r="AH25" s="54" t="e">
        <f>IF(I25="","",IF(#REF!&gt;0,TRUE,FALSE))</f>
        <v>#REF!</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ht="28.5" x14ac:dyDescent="0.2">
      <c r="A26" s="47" t="str">
        <f>IFERROR(INDEX('G-1 All Habitats'!$AG$3:$AG$15,MATCH(E26,'G-1 All Habitats'!$AF$3:$AF$15,0)),"")</f>
        <v>Urban</v>
      </c>
      <c r="B26" s="47" t="str">
        <f>IFERROR(INDEX('G-8 Condition Look up'!$I$4:$I$130,MATCH(G26,'G-8 Condition Look up'!$A$4:$A$130,0)),"")</f>
        <v>Cond4</v>
      </c>
      <c r="D26" s="77">
        <v>16</v>
      </c>
      <c r="E26" s="78" t="s">
        <v>80</v>
      </c>
      <c r="F26" s="79" t="s">
        <v>243</v>
      </c>
      <c r="G26" s="69" t="str">
        <f>IFERROR(INDEX('G-1 All Habitats'!$B$3:$B$129,MATCH(F26,'G-1 All Habitats'!$A$3:$A$129,0)),"")</f>
        <v>Urban - Open Mosaic Habitats on Previously Developed Land</v>
      </c>
      <c r="H26" s="70">
        <v>9.3899999999999997E-2</v>
      </c>
      <c r="I26" s="497" t="str">
        <f>IF(G26="","",VLOOKUP(G26,'G-1 All Habitats'!$B$2:$M$129,10,FALSE))</f>
        <v>High</v>
      </c>
      <c r="J26" s="498">
        <f>IFERROR(VLOOKUP(I26,'G-1 All Habitats'!$V$3:$W$7,2,FALSE),"")</f>
        <v>6</v>
      </c>
      <c r="K26" s="71" t="s">
        <v>26</v>
      </c>
      <c r="L26" s="498">
        <f>IFERROR(INDEX('G-8 Condition Look up'!$A$3:$H$130,MATCH(G26,'G-8 Condition Look up'!$A$3:$A$130,0),MATCH(K26,'G-8 Condition Look up'!$A$3:$H$3,0)),"")</f>
        <v>2</v>
      </c>
      <c r="M26" s="71" t="s">
        <v>231</v>
      </c>
      <c r="N26" s="519" t="str">
        <f>IF(M26="","",IF(VLOOKUP(M26,'G-3 Multipliers'!$L$3:$N$6,2,FALSE)=0,"Spatial Data Missing",VLOOKUP(M26,'G-3 Multipliers'!$L$3:$N$6,2,FALSE)))</f>
        <v xml:space="preserve">High strategic significance </v>
      </c>
      <c r="O26" s="504">
        <f>IF(M26="","",IF(VLOOKUP(M26,'G-3 Multipliers'!$L$3:$N$6,3,FALSE)=0,"Spatial Data Missing ▲",VLOOKUP(M26,'G-3 Multipliers'!$L$3:$N$6,3,FALSE)))</f>
        <v>1.1499999999999999</v>
      </c>
      <c r="P26" s="505" t="str">
        <f>IFERROR(VLOOKUP(G26,'G-1 All Habitats'!$B$2:$M$129,12,FALSE),"")</f>
        <v>Same habitat required =</v>
      </c>
      <c r="Q26" s="512">
        <f>IFERROR(IF(P26="","",IF(AND(P26='G-1 All Habitats'!$X$3,T26&gt;0),U26+V26,IF(AND(P26='G-1 All Habitats'!$X$3,S26&gt;0),U26+V26,IF(AND(P26='G-1 All Habitats'!$X$3,AC26&gt;0),"Any Loss Unacceptable ▲",IF(AND(P26='G-1 All Habitats'!$X$3,W26&gt;0),"Any Loss Unacceptable ▲",H26*J26*L26*O26))))),"Check Data ▲")</f>
        <v>1.29582</v>
      </c>
      <c r="R26" s="50"/>
      <c r="S26" s="71">
        <v>0</v>
      </c>
      <c r="T26" s="72">
        <v>9.3899999999999997E-2</v>
      </c>
      <c r="U26" s="510">
        <f t="shared" si="3"/>
        <v>0</v>
      </c>
      <c r="V26" s="510">
        <f t="shared" si="4"/>
        <v>1.29582</v>
      </c>
      <c r="W26" s="510">
        <f>IF(E26="","",IF(H26&lt;S26+T26,"Error in Areas ▲",IF(P26&lt;&gt;'G-1 All Habitats'!$X$3,H26-S26-T26,IF(AND(P26='G-1 All Habitats'!$X$3,Y26="Yes"),"Unacceptable Loss",IF(AND(P26='G-1 All Habitats'!$X$3,Y26="No"),AC26,IF(AND(P26='G-1 All Habitats'!$X$3,Y26=""),AC26,IF(AND(P26='G-1 All Habitats'!$X$3,AC26="None",AC26),IF(AND(P26='G-1 All Habitats'!$X$3,AC26&gt;0),H26-S26-T26))))))))</f>
        <v>0</v>
      </c>
      <c r="X26" s="514">
        <f>IFERROR(IF(H26="","",IF(H26-S26-T26=0&lt;0,"Error in Areas ▲",IF(S26+T26&gt;H26,"Error in Areas ▲",IF(AND(P26='G-1 All Habitats'!$X$3,Y26="Yes"),"Alternative Compensation ✓",IF(W26=0,0,IF(P26='G-1 All Habitats'!$X$3,"Unacceptable Loss ▲",Q26-U26-V26)))))),"Check Data ▲")</f>
        <v>0</v>
      </c>
      <c r="Y26" s="72"/>
      <c r="Z26" s="80"/>
      <c r="AA26" s="81"/>
      <c r="AC26" s="75" t="str">
        <f>IF(P26="","",IF(P26='G-1 All Habitats'!$X$3,H26-S26-T26,"None"))</f>
        <v>None</v>
      </c>
      <c r="AD26" s="76" t="str">
        <f>IFERROR(AC26*J26*L26*#REF!*O26,IF(P26="","","None"))</f>
        <v>None</v>
      </c>
      <c r="AF26" s="54" t="b">
        <f t="shared" si="0"/>
        <v>0</v>
      </c>
      <c r="AG26" s="54" t="b">
        <f t="shared" si="1"/>
        <v>1</v>
      </c>
      <c r="AH26" s="54" t="e">
        <f>IF(I26="","",IF(#REF!&gt;0,TRUE,FALSE))</f>
        <v>#REF!</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ht="28.5" x14ac:dyDescent="0.2">
      <c r="A27" s="47" t="str">
        <f>IFERROR(INDEX('G-1 All Habitats'!$AG$3:$AG$15,MATCH(E27,'G-1 All Habitats'!$AF$3:$AF$15,0)),"")</f>
        <v>Woodland_and_forest</v>
      </c>
      <c r="B27" s="47" t="str">
        <f>IFERROR(INDEX('G-8 Condition Look up'!$I$4:$I$130,MATCH(G27,'G-8 Condition Look up'!$A$4:$A$130,0)),"")</f>
        <v>Cond4</v>
      </c>
      <c r="D27" s="77">
        <v>17</v>
      </c>
      <c r="E27" s="78" t="s">
        <v>82</v>
      </c>
      <c r="F27" s="79" t="s">
        <v>244</v>
      </c>
      <c r="G27" s="69" t="str">
        <f>IFERROR(INDEX('G-1 All Habitats'!$B$3:$B$129,MATCH(F27,'G-1 All Habitats'!$A$3:$A$129,0)),"")</f>
        <v>Woodland and forest - Lowland mixed deciduous woodland</v>
      </c>
      <c r="H27" s="70">
        <v>2.7749000000000001</v>
      </c>
      <c r="I27" s="497" t="str">
        <f>IF(G27="","",VLOOKUP(G27,'G-1 All Habitats'!$B$2:$M$129,10,FALSE))</f>
        <v>High</v>
      </c>
      <c r="J27" s="498">
        <f>IFERROR(VLOOKUP(I27,'G-1 All Habitats'!$V$3:$W$7,2,FALSE),"")</f>
        <v>6</v>
      </c>
      <c r="K27" s="71" t="s">
        <v>27</v>
      </c>
      <c r="L27" s="498">
        <f>IFERROR(INDEX('G-8 Condition Look up'!$A$3:$H$130,MATCH(G27,'G-8 Condition Look up'!$A$3:$A$130,0),MATCH(K27,'G-8 Condition Look up'!$A$3:$H$3,0)),"")</f>
        <v>3</v>
      </c>
      <c r="M27" s="71" t="s">
        <v>231</v>
      </c>
      <c r="N27" s="519" t="str">
        <f>IF(M27="","",IF(VLOOKUP(M27,'G-3 Multipliers'!$L$3:$N$6,2,FALSE)=0,"Spatial Data Missing",VLOOKUP(M27,'G-3 Multipliers'!$L$3:$N$6,2,FALSE)))</f>
        <v xml:space="preserve">High strategic significance </v>
      </c>
      <c r="O27" s="504">
        <f>IF(M27="","",IF(VLOOKUP(M27,'G-3 Multipliers'!$L$3:$N$6,3,FALSE)=0,"Spatial Data Missing ▲",VLOOKUP(M27,'G-3 Multipliers'!$L$3:$N$6,3,FALSE)))</f>
        <v>1.1499999999999999</v>
      </c>
      <c r="P27" s="505" t="str">
        <f>IFERROR(VLOOKUP(G27,'G-1 All Habitats'!$B$2:$M$129,12,FALSE),"")</f>
        <v>Same habitat required =</v>
      </c>
      <c r="Q27" s="512">
        <f>IFERROR(IF(P27="","",IF(AND(P27='G-1 All Habitats'!$X$3,T27&gt;0),U27+V27,IF(AND(P27='G-1 All Habitats'!$X$3,S27&gt;0),U27+V27,IF(AND(P27='G-1 All Habitats'!$X$3,AC27&gt;0),"Any Loss Unacceptable ▲",IF(AND(P27='G-1 All Habitats'!$X$3,W27&gt;0),"Any Loss Unacceptable ▲",H27*J27*L27*O27))))),"Check Data ▲")</f>
        <v>57.440429999999992</v>
      </c>
      <c r="R27" s="50"/>
      <c r="S27" s="71">
        <v>2.7749000000000001</v>
      </c>
      <c r="T27" s="72">
        <v>0</v>
      </c>
      <c r="U27" s="510">
        <f t="shared" si="3"/>
        <v>57.440429999999992</v>
      </c>
      <c r="V27" s="510">
        <f t="shared" si="4"/>
        <v>0</v>
      </c>
      <c r="W27" s="510">
        <f>IF(E27="","",IF(H27&lt;S27+T27,"Error in Areas ▲",IF(P27&lt;&gt;'G-1 All Habitats'!$X$3,H27-S27-T27,IF(AND(P27='G-1 All Habitats'!$X$3,Y27="Yes"),"Unacceptable Loss",IF(AND(P27='G-1 All Habitats'!$X$3,Y27="No"),AC27,IF(AND(P27='G-1 All Habitats'!$X$3,Y27=""),AC27,IF(AND(P27='G-1 All Habitats'!$X$3,AC27="None",AC27),IF(AND(P27='G-1 All Habitats'!$X$3,AC27&gt;0),H27-S27-T27))))))))</f>
        <v>0</v>
      </c>
      <c r="X27" s="514">
        <f>IFERROR(IF(H27="","",IF(H27-S27-T27=0&lt;0,"Error in Areas ▲",IF(S27+T27&gt;H27,"Error in Areas ▲",IF(AND(P27='G-1 All Habitats'!$X$3,Y27="Yes"),"Alternative Compensation ✓",IF(W27=0,0,IF(P27='G-1 All Habitats'!$X$3,"Unacceptable Loss ▲",Q27-U27-V27)))))),"Check Data ▲")</f>
        <v>0</v>
      </c>
      <c r="Y27" s="72"/>
      <c r="Z27" s="80"/>
      <c r="AA27" s="81"/>
      <c r="AC27" s="75" t="str">
        <f>IF(P27="","",IF(P27='G-1 All Habitats'!$X$3,H27-S27-T27,"None"))</f>
        <v>None</v>
      </c>
      <c r="AD27" s="76" t="str">
        <f>IFERROR(AC27*J27*L27*#REF!*O27,IF(P27="","","None"))</f>
        <v>None</v>
      </c>
      <c r="AF27" s="54" t="b">
        <f t="shared" si="0"/>
        <v>1</v>
      </c>
      <c r="AG27" s="54" t="b">
        <f t="shared" si="1"/>
        <v>0</v>
      </c>
      <c r="AH27" s="54" t="e">
        <f>IF(I27="","",IF(#REF!&gt;0,TRUE,FALSE))</f>
        <v>#REF!</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ht="28.5" x14ac:dyDescent="0.2">
      <c r="A28" s="47" t="str">
        <f>IFERROR(INDEX('G-1 All Habitats'!$AG$3:$AG$15,MATCH(E28,'G-1 All Habitats'!$AF$3:$AF$15,0)),"")</f>
        <v>Woodland_and_forest</v>
      </c>
      <c r="B28" s="47" t="str">
        <f>IFERROR(INDEX('G-8 Condition Look up'!$I$4:$I$130,MATCH(G28,'G-8 Condition Look up'!$A$4:$A$130,0)),"")</f>
        <v>Cond4</v>
      </c>
      <c r="D28" s="77">
        <v>18</v>
      </c>
      <c r="E28" s="78" t="s">
        <v>82</v>
      </c>
      <c r="F28" s="79" t="s">
        <v>244</v>
      </c>
      <c r="G28" s="69" t="str">
        <f>IFERROR(INDEX('G-1 All Habitats'!$B$3:$B$129,MATCH(F28,'G-1 All Habitats'!$A$3:$A$129,0)),"")</f>
        <v>Woodland and forest - Lowland mixed deciduous woodland</v>
      </c>
      <c r="H28" s="70">
        <v>2.2900999999999998</v>
      </c>
      <c r="I28" s="497" t="str">
        <f>IF(G28="","",VLOOKUP(G28,'G-1 All Habitats'!$B$2:$M$129,10,FALSE))</f>
        <v>High</v>
      </c>
      <c r="J28" s="498">
        <f>IFERROR(VLOOKUP(I28,'G-1 All Habitats'!$V$3:$W$7,2,FALSE),"")</f>
        <v>6</v>
      </c>
      <c r="K28" s="71" t="s">
        <v>26</v>
      </c>
      <c r="L28" s="498">
        <f>IFERROR(INDEX('G-8 Condition Look up'!$A$3:$H$130,MATCH(G28,'G-8 Condition Look up'!$A$3:$A$130,0),MATCH(K28,'G-8 Condition Look up'!$A$3:$H$3,0)),"")</f>
        <v>2</v>
      </c>
      <c r="M28" s="71" t="s">
        <v>231</v>
      </c>
      <c r="N28" s="519" t="str">
        <f>IF(M28="","",IF(VLOOKUP(M28,'G-3 Multipliers'!$L$3:$N$6,2,FALSE)=0,"Spatial Data Missing",VLOOKUP(M28,'G-3 Multipliers'!$L$3:$N$6,2,FALSE)))</f>
        <v xml:space="preserve">High strategic significance </v>
      </c>
      <c r="O28" s="504">
        <f>IF(M28="","",IF(VLOOKUP(M28,'G-3 Multipliers'!$L$3:$N$6,3,FALSE)=0,"Spatial Data Missing ▲",VLOOKUP(M28,'G-3 Multipliers'!$L$3:$N$6,3,FALSE)))</f>
        <v>1.1499999999999999</v>
      </c>
      <c r="P28" s="505" t="str">
        <f>IFERROR(VLOOKUP(G28,'G-1 All Habitats'!$B$2:$M$129,12,FALSE),"")</f>
        <v>Same habitat required =</v>
      </c>
      <c r="Q28" s="512">
        <f>IFERROR(IF(P28="","",IF(AND(P28='G-1 All Habitats'!$X$3,T28&gt;0),U28+V28,IF(AND(P28='G-1 All Habitats'!$X$3,S28&gt;0),U28+V28,IF(AND(P28='G-1 All Habitats'!$X$3,AC28&gt;0),"Any Loss Unacceptable ▲",IF(AND(P28='G-1 All Habitats'!$X$3,W28&gt;0),"Any Loss Unacceptable ▲",H28*J28*L28*O28))))),"Check Data ▲")</f>
        <v>31.603379999999994</v>
      </c>
      <c r="R28" s="50"/>
      <c r="S28" s="71">
        <v>0</v>
      </c>
      <c r="T28" s="72">
        <v>2.2900999999999998</v>
      </c>
      <c r="U28" s="510">
        <f t="shared" si="3"/>
        <v>0</v>
      </c>
      <c r="V28" s="510">
        <f t="shared" si="4"/>
        <v>31.603379999999994</v>
      </c>
      <c r="W28" s="510">
        <f>IF(E28="","",IF(H28&lt;S28+T28,"Error in Areas ▲",IF(P28&lt;&gt;'G-1 All Habitats'!$X$3,H28-S28-T28,IF(AND(P28='G-1 All Habitats'!$X$3,Y28="Yes"),"Unacceptable Loss",IF(AND(P28='G-1 All Habitats'!$X$3,Y28="No"),AC28,IF(AND(P28='G-1 All Habitats'!$X$3,Y28=""),AC28,IF(AND(P28='G-1 All Habitats'!$X$3,AC28="None",AC28),IF(AND(P28='G-1 All Habitats'!$X$3,AC28&gt;0),H28-S28-T28))))))))</f>
        <v>0</v>
      </c>
      <c r="X28" s="514">
        <f>IFERROR(IF(H28="","",IF(H28-S28-T28=0&lt;0,"Error in Areas ▲",IF(S28+T28&gt;H28,"Error in Areas ▲",IF(AND(P28='G-1 All Habitats'!$X$3,Y28="Yes"),"Alternative Compensation ✓",IF(W28=0,0,IF(P28='G-1 All Habitats'!$X$3,"Unacceptable Loss ▲",Q28-U28-V28)))))),"Check Data ▲")</f>
        <v>0</v>
      </c>
      <c r="Y28" s="72"/>
      <c r="Z28" s="80"/>
      <c r="AA28" s="81"/>
      <c r="AC28" s="75" t="str">
        <f>IF(P28="","",IF(P28='G-1 All Habitats'!$X$3,H28-S28-T28,"None"))</f>
        <v>None</v>
      </c>
      <c r="AD28" s="76" t="str">
        <f>IFERROR(AC28*J28*L28*#REF!*O28,IF(P28="","","None"))</f>
        <v>None</v>
      </c>
      <c r="AF28" s="54" t="b">
        <f t="shared" si="0"/>
        <v>0</v>
      </c>
      <c r="AG28" s="54" t="b">
        <f t="shared" si="1"/>
        <v>1</v>
      </c>
      <c r="AH28" s="54" t="e">
        <f>IF(I28="","",IF(#REF!&gt;0,TRUE,FALSE))</f>
        <v>#REF!</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ht="42.75" x14ac:dyDescent="0.2">
      <c r="A29" s="47" t="str">
        <f>IFERROR(INDEX('G-1 All Habitats'!$AG$3:$AG$15,MATCH(E29,'G-1 All Habitats'!$AF$3:$AF$15,0)),"")</f>
        <v>Woodland_and_forest</v>
      </c>
      <c r="B29" s="47" t="str">
        <f>IFERROR(INDEX('G-8 Condition Look up'!$I$4:$I$130,MATCH(G29,'G-8 Condition Look up'!$A$4:$A$130,0)),"")</f>
        <v>Cond4</v>
      </c>
      <c r="D29" s="77">
        <v>19</v>
      </c>
      <c r="E29" s="78" t="s">
        <v>82</v>
      </c>
      <c r="F29" s="79" t="s">
        <v>245</v>
      </c>
      <c r="G29" s="69" t="str">
        <f>IFERROR(INDEX('G-1 All Habitats'!$B$3:$B$129,MATCH(F29,'G-1 All Habitats'!$A$3:$A$129,0)),"")</f>
        <v>Woodland and forest - Other woodland; broadleaved</v>
      </c>
      <c r="H29" s="70">
        <v>1.2326999999999999</v>
      </c>
      <c r="I29" s="497" t="str">
        <f>IF(G29="","",VLOOKUP(G29,'G-1 All Habitats'!$B$2:$M$129,10,FALSE))</f>
        <v>Medium</v>
      </c>
      <c r="J29" s="498">
        <f>IFERROR(VLOOKUP(I29,'G-1 All Habitats'!$V$3:$W$7,2,FALSE),"")</f>
        <v>4</v>
      </c>
      <c r="K29" s="71" t="s">
        <v>26</v>
      </c>
      <c r="L29" s="498">
        <f>IFERROR(INDEX('G-8 Condition Look up'!$A$3:$H$130,MATCH(G29,'G-8 Condition Look up'!$A$3:$A$130,0),MATCH(K29,'G-8 Condition Look up'!$A$3:$H$3,0)),"")</f>
        <v>2</v>
      </c>
      <c r="M29" s="71" t="s">
        <v>231</v>
      </c>
      <c r="N29" s="519" t="str">
        <f>IF(M29="","",IF(VLOOKUP(M29,'G-3 Multipliers'!$L$3:$N$6,2,FALSE)=0,"Spatial Data Missing",VLOOKUP(M29,'G-3 Multipliers'!$L$3:$N$6,2,FALSE)))</f>
        <v xml:space="preserve">High strategic significance </v>
      </c>
      <c r="O29" s="504">
        <f>IF(M29="","",IF(VLOOKUP(M29,'G-3 Multipliers'!$L$3:$N$6,3,FALSE)=0,"Spatial Data Missing ▲",VLOOKUP(M29,'G-3 Multipliers'!$L$3:$N$6,3,FALSE)))</f>
        <v>1.1499999999999999</v>
      </c>
      <c r="P29" s="505" t="str">
        <f>IFERROR(VLOOKUP(G29,'G-1 All Habitats'!$B$2:$M$129,12,FALSE),"")</f>
        <v>Same broad habitat or a higher distinctiveness habitat required (≥)</v>
      </c>
      <c r="Q29" s="512">
        <f>IFERROR(IF(P29="","",IF(AND(P29='G-1 All Habitats'!$X$3,T29&gt;0),U29+V29,IF(AND(P29='G-1 All Habitats'!$X$3,S29&gt;0),U29+V29,IF(AND(P29='G-1 All Habitats'!$X$3,AC29&gt;0),"Any Loss Unacceptable ▲",IF(AND(P29='G-1 All Habitats'!$X$3,W29&gt;0),"Any Loss Unacceptable ▲",H29*J29*L29*O29))))),"Check Data ▲")</f>
        <v>11.340839999999998</v>
      </c>
      <c r="R29" s="50"/>
      <c r="S29" s="71">
        <v>0</v>
      </c>
      <c r="T29" s="72">
        <v>1.2326999999999999</v>
      </c>
      <c r="U29" s="510">
        <f t="shared" si="3"/>
        <v>0</v>
      </c>
      <c r="V29" s="510">
        <f t="shared" si="4"/>
        <v>11.340839999999998</v>
      </c>
      <c r="W29" s="510">
        <f>IF(E29="","",IF(H29&lt;S29+T29,"Error in Areas ▲",IF(P29&lt;&gt;'G-1 All Habitats'!$X$3,H29-S29-T29,IF(AND(P29='G-1 All Habitats'!$X$3,Y29="Yes"),"Unacceptable Loss",IF(AND(P29='G-1 All Habitats'!$X$3,Y29="No"),AC29,IF(AND(P29='G-1 All Habitats'!$X$3,Y29=""),AC29,IF(AND(P29='G-1 All Habitats'!$X$3,AC29="None",AC29),IF(AND(P29='G-1 All Habitats'!$X$3,AC29&gt;0),H29-S29-T29))))))))</f>
        <v>0</v>
      </c>
      <c r="X29" s="514">
        <f>IFERROR(IF(H29="","",IF(H29-S29-T29=0&lt;0,"Error in Areas ▲",IF(S29+T29&gt;H29,"Error in Areas ▲",IF(AND(P29='G-1 All Habitats'!$X$3,Y29="Yes"),"Alternative Compensation ✓",IF(W29=0,0,IF(P29='G-1 All Habitats'!$X$3,"Unacceptable Loss ▲",Q29-U29-V29)))))),"Check Data ▲")</f>
        <v>0</v>
      </c>
      <c r="Y29" s="72"/>
      <c r="Z29" s="80"/>
      <c r="AA29" s="81"/>
      <c r="AC29" s="75" t="str">
        <f>IF(P29="","",IF(P29='G-1 All Habitats'!$X$3,H29-S29-T29,"None"))</f>
        <v>None</v>
      </c>
      <c r="AD29" s="76" t="str">
        <f>IFERROR(AC29*J29*L29*#REF!*O29,IF(P29="","","None"))</f>
        <v>None</v>
      </c>
      <c r="AF29" s="54" t="b">
        <f t="shared" si="0"/>
        <v>0</v>
      </c>
      <c r="AG29" s="54" t="b">
        <f t="shared" si="1"/>
        <v>1</v>
      </c>
      <c r="AH29" s="54" t="e">
        <f>IF(I29="","",IF(#REF!&gt;0,TRUE,FALSE))</f>
        <v>#REF!</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ht="42.75" x14ac:dyDescent="0.2">
      <c r="A30" s="47" t="str">
        <f>IFERROR(INDEX('G-1 All Habitats'!$AG$3:$AG$15,MATCH(E30,'G-1 All Habitats'!$AF$3:$AF$15,0)),"")</f>
        <v>Woodland_and_forest</v>
      </c>
      <c r="B30" s="47" t="str">
        <f>IFERROR(INDEX('G-8 Condition Look up'!$I$4:$I$130,MATCH(G30,'G-8 Condition Look up'!$A$4:$A$130,0)),"")</f>
        <v>Cond4</v>
      </c>
      <c r="D30" s="77">
        <v>20</v>
      </c>
      <c r="E30" s="78" t="s">
        <v>82</v>
      </c>
      <c r="F30" s="79" t="s">
        <v>245</v>
      </c>
      <c r="G30" s="69" t="str">
        <f>IFERROR(INDEX('G-1 All Habitats'!$B$3:$B$129,MATCH(F30,'G-1 All Habitats'!$A$3:$A$129,0)),"")</f>
        <v>Woodland and forest - Other woodland; broadleaved</v>
      </c>
      <c r="H30" s="70">
        <v>0.1065</v>
      </c>
      <c r="I30" s="497" t="str">
        <f>IF(G30="","",VLOOKUP(G30,'G-1 All Habitats'!$B$2:$M$129,10,FALSE))</f>
        <v>Medium</v>
      </c>
      <c r="J30" s="498">
        <f>IFERROR(VLOOKUP(I30,'G-1 All Habitats'!$V$3:$W$7,2,FALSE),"")</f>
        <v>4</v>
      </c>
      <c r="K30" s="71" t="s">
        <v>233</v>
      </c>
      <c r="L30" s="498">
        <f>IFERROR(INDEX('G-8 Condition Look up'!$A$3:$H$130,MATCH(G30,'G-8 Condition Look up'!$A$3:$A$130,0),MATCH(K30,'G-8 Condition Look up'!$A$3:$H$3,0)),"")</f>
        <v>1</v>
      </c>
      <c r="M30" s="71" t="s">
        <v>231</v>
      </c>
      <c r="N30" s="519" t="str">
        <f>IF(M30="","",IF(VLOOKUP(M30,'G-3 Multipliers'!$L$3:$N$6,2,FALSE)=0,"Spatial Data Missing",VLOOKUP(M30,'G-3 Multipliers'!$L$3:$N$6,2,FALSE)))</f>
        <v xml:space="preserve">High strategic significance </v>
      </c>
      <c r="O30" s="504">
        <f>IF(M30="","",IF(VLOOKUP(M30,'G-3 Multipliers'!$L$3:$N$6,3,FALSE)=0,"Spatial Data Missing ▲",VLOOKUP(M30,'G-3 Multipliers'!$L$3:$N$6,3,FALSE)))</f>
        <v>1.1499999999999999</v>
      </c>
      <c r="P30" s="505" t="str">
        <f>IFERROR(VLOOKUP(G30,'G-1 All Habitats'!$B$2:$M$129,12,FALSE),"")</f>
        <v>Same broad habitat or a higher distinctiveness habitat required (≥)</v>
      </c>
      <c r="Q30" s="512">
        <f>IFERROR(IF(P30="","",IF(AND(P30='G-1 All Habitats'!$X$3,T30&gt;0),U30+V30,IF(AND(P30='G-1 All Habitats'!$X$3,S30&gt;0),U30+V30,IF(AND(P30='G-1 All Habitats'!$X$3,AC30&gt;0),"Any Loss Unacceptable ▲",IF(AND(P30='G-1 All Habitats'!$X$3,W30&gt;0),"Any Loss Unacceptable ▲",H30*J30*L30*O30))))),"Check Data ▲")</f>
        <v>0.48989999999999995</v>
      </c>
      <c r="R30" s="50"/>
      <c r="S30" s="71">
        <v>0.1065</v>
      </c>
      <c r="T30" s="72">
        <v>0</v>
      </c>
      <c r="U30" s="510">
        <f t="shared" si="3"/>
        <v>0.48989999999999995</v>
      </c>
      <c r="V30" s="510">
        <f t="shared" si="4"/>
        <v>0</v>
      </c>
      <c r="W30" s="510">
        <f>IF(E30="","",IF(H30&lt;S30+T30,"Error in Areas ▲",IF(P30&lt;&gt;'G-1 All Habitats'!$X$3,H30-S30-T30,IF(AND(P30='G-1 All Habitats'!$X$3,Y30="Yes"),"Unacceptable Loss",IF(AND(P30='G-1 All Habitats'!$X$3,Y30="No"),AC30,IF(AND(P30='G-1 All Habitats'!$X$3,Y30=""),AC30,IF(AND(P30='G-1 All Habitats'!$X$3,AC30="None",AC30),IF(AND(P30='G-1 All Habitats'!$X$3,AC30&gt;0),H30-S30-T30))))))))</f>
        <v>0</v>
      </c>
      <c r="X30" s="514">
        <f>IFERROR(IF(H30="","",IF(H30-S30-T30=0&lt;0,"Error in Areas ▲",IF(S30+T30&gt;H30,"Error in Areas ▲",IF(AND(P30='G-1 All Habitats'!$X$3,Y30="Yes"),"Alternative Compensation ✓",IF(W30=0,0,IF(P30='G-1 All Habitats'!$X$3,"Unacceptable Loss ▲",Q30-U30-V30)))))),"Check Data ▲")</f>
        <v>0</v>
      </c>
      <c r="Y30" s="72"/>
      <c r="Z30" s="80"/>
      <c r="AA30" s="81"/>
      <c r="AC30" s="75" t="str">
        <f>IF(P30="","",IF(P30='G-1 All Habitats'!$X$3,H30-S30-T30,"None"))</f>
        <v>None</v>
      </c>
      <c r="AD30" s="76" t="str">
        <f>IFERROR(AC30*J30*L30*#REF!*O30,IF(P30="","","None"))</f>
        <v>None</v>
      </c>
      <c r="AF30" s="54" t="b">
        <f t="shared" si="0"/>
        <v>1</v>
      </c>
      <c r="AG30" s="54" t="b">
        <f t="shared" si="1"/>
        <v>0</v>
      </c>
      <c r="AH30" s="54" t="e">
        <f>IF(I30="","",IF(#REF!&gt;0,TRUE,FALSE))</f>
        <v>#REF!</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ht="42.75" x14ac:dyDescent="0.2">
      <c r="A31" s="47" t="str">
        <f>IFERROR(INDEX('G-1 All Habitats'!$AG$3:$AG$15,MATCH(E31,'G-1 All Habitats'!$AF$3:$AF$15,0)),"")</f>
        <v>Woodland_and_forest</v>
      </c>
      <c r="B31" s="47" t="str">
        <f>IFERROR(INDEX('G-8 Condition Look up'!$I$4:$I$130,MATCH(G31,'G-8 Condition Look up'!$A$4:$A$130,0)),"")</f>
        <v>Cond4</v>
      </c>
      <c r="D31" s="77">
        <v>21</v>
      </c>
      <c r="E31" s="78" t="s">
        <v>82</v>
      </c>
      <c r="F31" s="79" t="s">
        <v>246</v>
      </c>
      <c r="G31" s="69" t="str">
        <f>IFERROR(INDEX('G-1 All Habitats'!$B$3:$B$129,MATCH(F31,'G-1 All Habitats'!$A$3:$A$129,0)),"")</f>
        <v>Woodland and forest - Other woodland; mixed</v>
      </c>
      <c r="H31" s="70">
        <v>0.24690000000000001</v>
      </c>
      <c r="I31" s="497" t="str">
        <f>IF(G31="","",VLOOKUP(G31,'G-1 All Habitats'!$B$2:$M$129,10,FALSE))</f>
        <v>Medium</v>
      </c>
      <c r="J31" s="498">
        <f>IFERROR(VLOOKUP(I31,'G-1 All Habitats'!$V$3:$W$7,2,FALSE),"")</f>
        <v>4</v>
      </c>
      <c r="K31" s="71" t="s">
        <v>26</v>
      </c>
      <c r="L31" s="498">
        <f>IFERROR(INDEX('G-8 Condition Look up'!$A$3:$H$130,MATCH(G31,'G-8 Condition Look up'!$A$3:$A$130,0),MATCH(K31,'G-8 Condition Look up'!$A$3:$H$3,0)),"")</f>
        <v>2</v>
      </c>
      <c r="M31" s="71" t="s">
        <v>231</v>
      </c>
      <c r="N31" s="519" t="str">
        <f>IF(M31="","",IF(VLOOKUP(M31,'G-3 Multipliers'!$L$3:$N$6,2,FALSE)=0,"Spatial Data Missing",VLOOKUP(M31,'G-3 Multipliers'!$L$3:$N$6,2,FALSE)))</f>
        <v xml:space="preserve">High strategic significance </v>
      </c>
      <c r="O31" s="504">
        <f>IF(M31="","",IF(VLOOKUP(M31,'G-3 Multipliers'!$L$3:$N$6,3,FALSE)=0,"Spatial Data Missing ▲",VLOOKUP(M31,'G-3 Multipliers'!$L$3:$N$6,3,FALSE)))</f>
        <v>1.1499999999999999</v>
      </c>
      <c r="P31" s="505" t="str">
        <f>IFERROR(VLOOKUP(G31,'G-1 All Habitats'!$B$2:$M$129,12,FALSE),"")</f>
        <v>Same broad habitat or a higher distinctiveness habitat required (≥)</v>
      </c>
      <c r="Q31" s="512">
        <f>IFERROR(IF(P31="","",IF(AND(P31='G-1 All Habitats'!$X$3,T31&gt;0),U31+V31,IF(AND(P31='G-1 All Habitats'!$X$3,S31&gt;0),U31+V31,IF(AND(P31='G-1 All Habitats'!$X$3,AC31&gt;0),"Any Loss Unacceptable ▲",IF(AND(P31='G-1 All Habitats'!$X$3,W31&gt;0),"Any Loss Unacceptable ▲",H31*J31*L31*O31))))),"Check Data ▲")</f>
        <v>2.2714799999999999</v>
      </c>
      <c r="R31" s="50"/>
      <c r="S31" s="71">
        <v>0.24690000000000001</v>
      </c>
      <c r="T31" s="72">
        <v>0</v>
      </c>
      <c r="U31" s="510">
        <f t="shared" si="3"/>
        <v>2.2714799999999999</v>
      </c>
      <c r="V31" s="510">
        <f t="shared" si="4"/>
        <v>0</v>
      </c>
      <c r="W31" s="510">
        <f>IF(E31="","",IF(H31&lt;S31+T31,"Error in Areas ▲",IF(P31&lt;&gt;'G-1 All Habitats'!$X$3,H31-S31-T31,IF(AND(P31='G-1 All Habitats'!$X$3,Y31="Yes"),"Unacceptable Loss",IF(AND(P31='G-1 All Habitats'!$X$3,Y31="No"),AC31,IF(AND(P31='G-1 All Habitats'!$X$3,Y31=""),AC31,IF(AND(P31='G-1 All Habitats'!$X$3,AC31="None",AC31),IF(AND(P31='G-1 All Habitats'!$X$3,AC31&gt;0),H31-S31-T31))))))))</f>
        <v>0</v>
      </c>
      <c r="X31" s="514">
        <f>IFERROR(IF(H31="","",IF(H31-S31-T31=0&lt;0,"Error in Areas ▲",IF(S31+T31&gt;H31,"Error in Areas ▲",IF(AND(P31='G-1 All Habitats'!$X$3,Y31="Yes"),"Alternative Compensation ✓",IF(W31=0,0,IF(P31='G-1 All Habitats'!$X$3,"Unacceptable Loss ▲",Q31-U31-V31)))))),"Check Data ▲")</f>
        <v>0</v>
      </c>
      <c r="Y31" s="72"/>
      <c r="Z31" s="80"/>
      <c r="AA31" s="81"/>
      <c r="AC31" s="75" t="str">
        <f>IF(P31="","",IF(P31='G-1 All Habitats'!$X$3,H31-S31-T31,"None"))</f>
        <v>None</v>
      </c>
      <c r="AD31" s="76" t="str">
        <f>IFERROR(AC31*J31*L31*#REF!*O31,IF(P31="","","None"))</f>
        <v>None</v>
      </c>
      <c r="AF31" s="54" t="b">
        <f t="shared" si="0"/>
        <v>1</v>
      </c>
      <c r="AG31" s="54" t="b">
        <f t="shared" si="1"/>
        <v>0</v>
      </c>
      <c r="AH31" s="54" t="e">
        <f>IF(I31="","",IF(#REF!&gt;0,TRUE,FALSE))</f>
        <v>#REF!</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2">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2">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2">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2">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2">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2">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2">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2">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2">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2">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2">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2">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2">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2">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2">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2">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2">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2">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2">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2">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2">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2">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2">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2">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2">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2">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2">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2">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2">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2">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2">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2">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2">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2">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2">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2">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2">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2">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2">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2">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2">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2">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2">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2">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2">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2">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2">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2">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2">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2">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2">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2">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2">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2">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2">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2">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2">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2">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2">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2">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2">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2">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2">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2">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2">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2">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2">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2">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2">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2">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2">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2">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2">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2">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2">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2">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2">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2">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2">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2">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2">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2">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2">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2">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2">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2">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2">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2">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2">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2">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2">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2">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2">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2">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2">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2">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2">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2">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2">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2">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2">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2">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2">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2">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2">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2">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2">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2">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2">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2">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2">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2">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2">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2">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2">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2">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2">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2">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2">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2">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2">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2">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2">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2">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2">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2">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2">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2">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2">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2">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2">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2">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2">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2">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2">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2">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2">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2">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2">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2">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2">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2">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2">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2">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2">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2">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2">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2">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2">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2">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2">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2">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2">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2">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2">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2">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2">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2">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2">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2">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2">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2">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2">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2">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2">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2">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2">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2">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2">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2">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2">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2">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2">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2">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2">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2">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2">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2">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2">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2">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2">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2">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2">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2">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2">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2">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2">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2">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2">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2">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2">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2">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2">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2">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2">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2">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2">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2">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2">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2">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2">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2">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2">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2">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2">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2">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2">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2">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2">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2">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2">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2">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2">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2">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2">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2">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2">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2">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2">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2">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2">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2">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2">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2">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2">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2">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 thickBot="1" x14ac:dyDescent="0.25">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 thickBot="1" x14ac:dyDescent="0.25">
      <c r="F259" s="501" t="s">
        <v>247</v>
      </c>
      <c r="H259" s="502">
        <f>SUM(H9:H256)</f>
        <v>45.919400000000003</v>
      </c>
      <c r="N259" s="50"/>
      <c r="P259" s="444"/>
      <c r="Q259" s="513">
        <f>IF('Detailed Results'!$K$40&gt;0,"Error",SUM(Q11:Q258))</f>
        <v>298.63406999999995</v>
      </c>
      <c r="R259" s="85"/>
      <c r="S259" s="516">
        <f>IF('Detailed Results'!$K$40&gt;0,"Error",SUM(S11:S258))</f>
        <v>3.6708000000000003</v>
      </c>
      <c r="T259" s="517">
        <f>IF('Detailed Results'!$K$40&gt;0,"Error",SUM(T11:T258))</f>
        <v>41.501799999999996</v>
      </c>
      <c r="U259" s="517">
        <f>IF('Detailed Results'!$K$40&gt;0,"Error",SUM(U11:U258))</f>
        <v>60.201809999999988</v>
      </c>
      <c r="V259" s="517">
        <f>IF('Detailed Results'!$K$40&gt;0,"Error",SUM(V11:V258))</f>
        <v>235.55449999999996</v>
      </c>
      <c r="W259" s="517">
        <f>IF('Detailed Results'!$K$40&gt;0,"Error",SUM(W11:W258))</f>
        <v>0.74680000000000002</v>
      </c>
      <c r="X259" s="513">
        <f>IF('Detailed Results'!$K$40&gt;0,"Error",SUM(X11:X258))</f>
        <v>2.8777599999999999</v>
      </c>
      <c r="AQ259" s="55">
        <f>SUM(AQ11:AQ258)</f>
        <v>0</v>
      </c>
    </row>
    <row r="260" spans="1:43" ht="28.5" customHeight="1" thickBot="1" x14ac:dyDescent="0.25">
      <c r="F260" s="457"/>
      <c r="P260" s="48"/>
      <c r="Y260" s="86"/>
    </row>
    <row r="261" spans="1:43" ht="38.25" customHeight="1" thickBot="1" x14ac:dyDescent="0.25">
      <c r="D261" s="48"/>
      <c r="E261" s="48"/>
      <c r="F261" s="48"/>
      <c r="G261" s="48"/>
      <c r="H261" s="48"/>
      <c r="S261" s="887" t="s">
        <v>248</v>
      </c>
      <c r="T261" s="888"/>
      <c r="U261" s="888"/>
      <c r="V261" s="889"/>
      <c r="W261" s="502">
        <f>IF('Detailed Results'!$K$40&gt;0,"Error",SUMIFS($W$11:$W$258,$G$11:$G$258,"&lt;&gt;"&amp;'G-1 All Habitats'!B65,$G$11:$G$258,"&lt;&gt;"&amp;'G-1 All Habitats'!B66,$G$11:$G$258,"&lt;&gt;"&amp;'G-1 All Habitats'!B73))</f>
        <v>0.74680000000000002</v>
      </c>
    </row>
    <row r="262" spans="1:43" x14ac:dyDescent="0.2">
      <c r="D262" s="48"/>
      <c r="E262" s="48"/>
    </row>
    <row r="263" spans="1:43" x14ac:dyDescent="0.2">
      <c r="D263" s="48"/>
      <c r="E263" s="48"/>
      <c r="F263" s="48"/>
      <c r="G263" s="48"/>
      <c r="H263" s="48"/>
      <c r="I263" s="48"/>
      <c r="J263" s="48"/>
      <c r="K263" s="48"/>
      <c r="L263" s="48"/>
      <c r="M263" s="48"/>
      <c r="N263" s="48"/>
      <c r="O263" s="48"/>
    </row>
    <row r="264" spans="1:43" x14ac:dyDescent="0.2">
      <c r="D264" s="48"/>
      <c r="E264" s="48"/>
      <c r="F264" s="48"/>
      <c r="G264" s="48"/>
      <c r="H264" s="48"/>
      <c r="I264" s="48"/>
      <c r="J264" s="48"/>
      <c r="K264" s="48"/>
      <c r="L264" s="48"/>
      <c r="M264" s="48"/>
      <c r="N264" s="48"/>
      <c r="O264" s="48"/>
    </row>
    <row r="265" spans="1:43" x14ac:dyDescent="0.2">
      <c r="D265" s="48"/>
      <c r="E265" s="48"/>
      <c r="F265" s="48"/>
      <c r="G265" s="48"/>
      <c r="H265" s="48"/>
      <c r="I265" s="48"/>
      <c r="J265" s="48"/>
      <c r="K265" s="48"/>
      <c r="L265" s="48"/>
      <c r="M265" s="48"/>
      <c r="N265" s="48"/>
      <c r="O265" s="48"/>
    </row>
    <row r="275" x14ac:dyDescent="0.2"/>
  </sheetData>
  <sheetProtection algorithmName="SHA-512" hashValue="aar1cauUSU2RCLDgzeiaTYZfDGiZP8eTCRiMOMNRSr8tyEMTRk4AbSDF0cZ/jpnPFI8m9dLrWO2OUcq6hn3hYQ==" saltValue="0J9HUFAhgvrmSixiEnTEp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5BC7336D2D7E41A987A0933C540428" ma:contentTypeVersion="12" ma:contentTypeDescription="Create a new document." ma:contentTypeScope="" ma:versionID="c6308cb6a7888ab9876de745fd1448ea">
  <xsd:schema xmlns:xsd="http://www.w3.org/2001/XMLSchema" xmlns:xs="http://www.w3.org/2001/XMLSchema" xmlns:p="http://schemas.microsoft.com/office/2006/metadata/properties" xmlns:ns3="460a00e0-59c8-4e13-8d0f-47b735ab5c88" xmlns:ns4="fd0dcb9e-a681-455b-934b-a5ea0a6a29d9" targetNamespace="http://schemas.microsoft.com/office/2006/metadata/properties" ma:root="true" ma:fieldsID="2c50fa3da394d85e4ec15600d769ef8a" ns3:_="" ns4:_="">
    <xsd:import namespace="460a00e0-59c8-4e13-8d0f-47b735ab5c88"/>
    <xsd:import namespace="fd0dcb9e-a681-455b-934b-a5ea0a6a29d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00e0-59c8-4e13-8d0f-47b735ab5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0dcb9e-a681-455b-934b-a5ea0a6a29d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D8E80E-3650-4921-9D0F-F779F71661B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3.xml><?xml version="1.0" encoding="utf-8"?>
<ds:datastoreItem xmlns:ds="http://schemas.openxmlformats.org/officeDocument/2006/customXml" ds:itemID="{AD64457C-8653-4FFD-B6F0-D31CC2814B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00e0-59c8-4e13-8d0f-47b735ab5c88"/>
    <ds:schemaRef ds:uri="fd0dcb9e-a681-455b-934b-a5ea0a6a29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Daniel Hannington</cp:lastModifiedBy>
  <cp:revision/>
  <dcterms:created xsi:type="dcterms:W3CDTF">2018-04-09T09:41:18Z</dcterms:created>
  <dcterms:modified xsi:type="dcterms:W3CDTF">2022-10-25T13:11:18Z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0x010100FB5BC7336D2D7E41A987A0933C540428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